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87" activeTab="11"/>
  </bookViews>
  <sheets>
    <sheet name="5. Загальний опис робіт" sheetId="1" r:id="rId1"/>
    <sheet name="5.1. Електричні мережі" sheetId="2" r:id="rId2"/>
    <sheet name="5.1.1. Обсяги робіт" sheetId="3" r:id="rId3"/>
    <sheet name="5.2. Зниження понаднорматива" sheetId="4" r:id="rId4"/>
    <sheet name="5.3. АСДТК" sheetId="5" r:id="rId5"/>
    <sheet name="5.3.1" sheetId="6" r:id="rId6"/>
    <sheet name="5.4. Інформаційні технології" sheetId="7" r:id="rId7"/>
    <sheet name="5.5. Зв'язок" sheetId="8" r:id="rId8"/>
    <sheet name="5.5.1" sheetId="9" r:id="rId9"/>
    <sheet name="5.6. Транспорт" sheetId="10" r:id="rId10"/>
    <sheet name="5.7. Інше" sheetId="11" r:id="rId11"/>
    <sheet name="6. Проведення закупівлі" sheetId="12" r:id="rId12"/>
    <sheet name="__VBA__0" sheetId="13" r:id="rId13"/>
    <sheet name="__VBA__1" sheetId="14" r:id="rId14"/>
    <sheet name="__VBA__2" sheetId="15" r:id="rId15"/>
    <sheet name="__VBA__3" sheetId="16" r:id="rId16"/>
    <sheet name="__VBA__4" sheetId="17" r:id="rId17"/>
    <sheet name="__VBA__5" sheetId="18" r:id="rId18"/>
    <sheet name="__VBA__6" sheetId="19" r:id="rId19"/>
    <sheet name="__VBA__7" sheetId="20" r:id="rId20"/>
    <sheet name="__VBA__8" sheetId="21" r:id="rId21"/>
    <sheet name="__VBA__9" sheetId="22" r:id="rId22"/>
    <sheet name="__VBA__10" sheetId="23" r:id="rId23"/>
    <sheet name="__VBA__11" sheetId="24" r:id="rId24"/>
    <sheet name="__VBA__12" sheetId="25" r:id="rId25"/>
    <sheet name="__VBA__13" sheetId="26" r:id="rId26"/>
    <sheet name="__VBA__14" sheetId="27" r:id="rId27"/>
    <sheet name="__VBA__15" sheetId="28" r:id="rId28"/>
    <sheet name="__VBA__16" sheetId="29" r:id="rId29"/>
    <sheet name="__VBA__17" sheetId="30" r:id="rId30"/>
    <sheet name="__VBA__18" sheetId="31" r:id="rId31"/>
    <sheet name="__VBA__19" sheetId="32" r:id="rId32"/>
    <sheet name="__VBA__20" sheetId="33" r:id="rId33"/>
  </sheets>
  <definedNames>
    <definedName name="_xlnm.Print_Titles" localSheetId="2">'5.1.1. Обсяги робіт'!$2:$4</definedName>
    <definedName name="_xlnm.Print_Titles" localSheetId="5">'5.3.1'!$2:$3</definedName>
    <definedName name="_xlnm.Print_Area" localSheetId="6">'5.4. Інформаційні технології'!$A$1:$J$29</definedName>
    <definedName name="_xlnm.Print_Titles" localSheetId="8">'5.5.1'!$2:$3</definedName>
    <definedName name="_xlnm.Print_Area" localSheetId="11">'6. Проведення закупівлі'!$A$1:$X$77</definedName>
    <definedName name="_xlnm.Print_Titles" localSheetId="11">'6. Проведення закупівлі'!$2:$5</definedName>
    <definedName name="Excel_BuiltIn_Print_Area" localSheetId="11">'6. Проведення закупівлі'!$A$1:$X$28</definedName>
  </definedNames>
  <calcPr fullCalcOnLoad="1"/>
</workbook>
</file>

<file path=xl/sharedStrings.xml><?xml version="1.0" encoding="utf-8"?>
<sst xmlns="http://schemas.openxmlformats.org/spreadsheetml/2006/main" count="1246" uniqueCount="683">
  <si>
    <t>5. Загальний опис робіт</t>
  </si>
  <si>
    <t>№ з/п</t>
  </si>
  <si>
    <t>Цільові програми</t>
  </si>
  <si>
    <t>Усього на роки 2016 - 2020</t>
  </si>
  <si>
    <t>У т.ч. по роках:</t>
  </si>
  <si>
    <t>тис. грн (без ПДВ)</t>
  </si>
  <si>
    <t>%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</si>
  <si>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</si>
  <si>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</si>
  <si>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</si>
  <si>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</si>
  <si>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
систем зв'язку</t>
  </si>
  <si>
    <t>Модернізація та закупівля
колісної техніки</t>
  </si>
  <si>
    <t>Інше</t>
  </si>
  <si>
    <t>Усього</t>
  </si>
  <si>
    <t>Керівник ліцензіата</t>
  </si>
  <si>
    <t>_________________</t>
  </si>
  <si>
    <t>І.М.Сафронов</t>
  </si>
  <si>
    <t>(або особа, яка виконує його обов'язки)</t>
  </si>
  <si>
    <t>(підпис)</t>
  </si>
  <si>
    <t>(прізвище, ім'я, по батькові)</t>
  </si>
  <si>
    <t xml:space="preserve">    "____" ____________ 20___ року</t>
  </si>
  <si>
    <t>М. П.</t>
  </si>
  <si>
    <t>5.1. Будівництво, модернізація та реконструкція електричних мереж та обладнання</t>
  </si>
  <si>
    <t>Складові цільової програми</t>
  </si>
  <si>
    <t xml:space="preserve">Усього на роки (прогнозний період) + (прогнозний період+4) </t>
  </si>
  <si>
    <t>(прогнозний період)</t>
  </si>
  <si>
    <t>(прогнозний період+1)</t>
  </si>
  <si>
    <t>(прогнозний період+2)</t>
  </si>
  <si>
    <t>(прогнозний період+3)</t>
  </si>
  <si>
    <t>(прогнозний період+4)</t>
  </si>
  <si>
    <t>тис. грн</t>
  </si>
  <si>
    <t>усього на рік</t>
  </si>
  <si>
    <t xml:space="preserve">економічний ефект </t>
  </si>
  <si>
    <t>зниження ТВЕ</t>
  </si>
  <si>
    <t>окупність у роках</t>
  </si>
  <si>
    <t>млн кВт·год</t>
  </si>
  <si>
    <t>1</t>
  </si>
  <si>
    <t>Будівництво, реконструкція та модернізація електричних мереж, у т.ч:</t>
  </si>
  <si>
    <t>1.1</t>
  </si>
  <si>
    <t>Будівництво нових ЛЕП (КЛ, ПЛ), усього,
з них:</t>
  </si>
  <si>
    <t>1.1.1</t>
  </si>
  <si>
    <t>110 кВ (150 кВ)</t>
  </si>
  <si>
    <t>1.1.2</t>
  </si>
  <si>
    <t>35 кВ</t>
  </si>
  <si>
    <t>1.1.3</t>
  </si>
  <si>
    <t>6-20 кВ</t>
  </si>
  <si>
    <t>1.1.4</t>
  </si>
  <si>
    <t>0,4 кВ</t>
  </si>
  <si>
    <t>1.1.4.1</t>
  </si>
  <si>
    <t>у т.ч. з магістральними ізольованими проводами</t>
  </si>
  <si>
    <t>1.2</t>
  </si>
  <si>
    <t>Реконструкція ЛЕП (КЛ, ПЛ), усього,
з них:</t>
  </si>
  <si>
    <t>1.2.1</t>
  </si>
  <si>
    <t>110 кВ (220, 150 кВ)</t>
  </si>
  <si>
    <t>1.2.2</t>
  </si>
  <si>
    <t>1.2.3</t>
  </si>
  <si>
    <t>1.2.4</t>
  </si>
  <si>
    <t>1.2.4.1</t>
  </si>
  <si>
    <t>1.3</t>
  </si>
  <si>
    <t>Будівництво нових ПС, РП та ТП, усього,
з них:</t>
  </si>
  <si>
    <t>1.3.1</t>
  </si>
  <si>
    <t>1.3.2</t>
  </si>
  <si>
    <t>1.3.3</t>
  </si>
  <si>
    <t>1.4</t>
  </si>
  <si>
    <t>Реконструкція ПС, ТП та РП, усього, з них:</t>
  </si>
  <si>
    <t>1.4.1</t>
  </si>
  <si>
    <t>1.4.2</t>
  </si>
  <si>
    <t>1.4.3</t>
  </si>
  <si>
    <t>1.5</t>
  </si>
  <si>
    <t>Модернізація ПС, ТП та РП, усього, з них:</t>
  </si>
  <si>
    <t>1.5.1</t>
  </si>
  <si>
    <t>1.5.2</t>
  </si>
  <si>
    <t>1.5.3</t>
  </si>
  <si>
    <t>2</t>
  </si>
  <si>
    <t>5.1.1. Обсяги будівництва, реконструкції та модернізації об'єктів електричних мереж
на прогнозний період</t>
  </si>
  <si>
    <t>Інвентарний номер об'єкта</t>
  </si>
  <si>
    <t>Найменування енергооб'єкта, його місцезнаходження та потужність</t>
  </si>
  <si>
    <t>Вартість одиниці продукції,
тис. грн (без ПДВ)</t>
  </si>
  <si>
    <t>Обсяги робіт та капіталовкладень
ПЛ, КЛ / ПС</t>
  </si>
  <si>
    <t>Наявність проектної документації (дата і номер документа про її затвердження)*</t>
  </si>
  <si>
    <t>Спосіб виконання робіт (підрядний/ господарський)</t>
  </si>
  <si>
    <t>Рік будівництва або попередньої реконструкції</t>
  </si>
  <si>
    <t>Примітка</t>
  </si>
  <si>
    <t>км / шт</t>
  </si>
  <si>
    <t>капіталовкладення,
тис. грн без ПДВ)</t>
  </si>
  <si>
    <t>ПЛ-110 (150) кВ, усього</t>
  </si>
  <si>
    <t>будівництво, усього</t>
  </si>
  <si>
    <t>-</t>
  </si>
  <si>
    <t>реконструкція, усього</t>
  </si>
  <si>
    <t>000662</t>
  </si>
  <si>
    <t>ПЛ-150кВ Ках. ГПП-Дудчино</t>
  </si>
  <si>
    <t>+</t>
  </si>
  <si>
    <t>підрядний</t>
  </si>
  <si>
    <t>ПЛ-35 кВ, усього</t>
  </si>
  <si>
    <t>2.1</t>
  </si>
  <si>
    <t>2.1.1</t>
  </si>
  <si>
    <t>2.2</t>
  </si>
  <si>
    <t>2.2.1</t>
  </si>
  <si>
    <t>3</t>
  </si>
  <si>
    <t>ПЛ-6 (10) кВ, усього</t>
  </si>
  <si>
    <t>3.1</t>
  </si>
  <si>
    <t>3.1.1</t>
  </si>
  <si>
    <t>3.2</t>
  </si>
  <si>
    <t>3.2.1</t>
  </si>
  <si>
    <t>реконструкція без улаштування розвантажувальних ТП</t>
  </si>
  <si>
    <t>3.2.1.1</t>
  </si>
  <si>
    <t>3.2.2</t>
  </si>
  <si>
    <t>реконструкція з улаштуванням розвантажувальних ТП</t>
  </si>
  <si>
    <t>3.2.2.1</t>
  </si>
  <si>
    <t>4</t>
  </si>
  <si>
    <t>ПЛ-0,4 кВ, усього</t>
  </si>
  <si>
    <t>4.1</t>
  </si>
  <si>
    <t>4.1.1</t>
  </si>
  <si>
    <t>будівництво ПЛ-0,4 кВ голим проводом</t>
  </si>
  <si>
    <t>4.1.1.1</t>
  </si>
  <si>
    <t>4.1.2</t>
  </si>
  <si>
    <t>будівництво ПЛ-0,4 кВ самоутримним ізольованим проводом</t>
  </si>
  <si>
    <t>4.1.2.1</t>
  </si>
  <si>
    <t>4.2</t>
  </si>
  <si>
    <t>4.2.1</t>
  </si>
  <si>
    <t>реконструкція ПЛ-0,4 кВ голим проводом</t>
  </si>
  <si>
    <t>4.2.1.1</t>
  </si>
  <si>
    <t>4.2.2</t>
  </si>
  <si>
    <t>реконструкція ПЛ-0,4 кВ самоутримним ізольованим проводом</t>
  </si>
  <si>
    <t>ХМЕМ</t>
  </si>
  <si>
    <t>4.2.2.1</t>
  </si>
  <si>
    <t>015557</t>
  </si>
  <si>
    <t>ПЛ-0,4кВ Ф №1,2,3 від ТП-207 смт.Антонівка</t>
  </si>
  <si>
    <t>4.2.2.2</t>
  </si>
  <si>
    <t>015724</t>
  </si>
  <si>
    <t>ПЛ-0,4кВ від ТП-475 м.Херсон</t>
  </si>
  <si>
    <t>4.2.2.3</t>
  </si>
  <si>
    <t>015554</t>
  </si>
  <si>
    <t>ПЛ-0,4кВ від ТП-200 м.Херсон</t>
  </si>
  <si>
    <t>4.2.2.4</t>
  </si>
  <si>
    <t>015647</t>
  </si>
  <si>
    <t>ПЛ-0,4кВ від РП «Причальний»</t>
  </si>
  <si>
    <t>4.2.2.5</t>
  </si>
  <si>
    <t xml:space="preserve">Переобладнання 1-о фазних ввідних пристроїв приватних будинків під час реконструкції ПЛ-0,4кВ голим дротом з встановленням ізольованого вводу </t>
  </si>
  <si>
    <t>господарський</t>
  </si>
  <si>
    <t>4.2.2.6</t>
  </si>
  <si>
    <t xml:space="preserve">Переобладнання 3-и фазних ввідних пристроїв приватних будинків під час реконструкції ПЛ-0,4кВ голим дротом з встановленням ізольованого вводу </t>
  </si>
  <si>
    <t>КЛ-110 кВ, усього</t>
  </si>
  <si>
    <t>5.1</t>
  </si>
  <si>
    <t>5.1.1</t>
  </si>
  <si>
    <t>5.2</t>
  </si>
  <si>
    <t>5.2.1</t>
  </si>
  <si>
    <t>КЛ-35 кВ, усього</t>
  </si>
  <si>
    <t>6.1</t>
  </si>
  <si>
    <t>6.1.1</t>
  </si>
  <si>
    <t>6.2</t>
  </si>
  <si>
    <t>6.2.1</t>
  </si>
  <si>
    <t>7</t>
  </si>
  <si>
    <t>КЛ-6 (10) кВ, усього</t>
  </si>
  <si>
    <t>7.1</t>
  </si>
  <si>
    <t>7.1.1</t>
  </si>
  <si>
    <t>7.2</t>
  </si>
  <si>
    <t>7.2.1</t>
  </si>
  <si>
    <t>016623</t>
  </si>
  <si>
    <t>КЛ-6кВ від ТП-140 до ТП-486 м.Херсон</t>
  </si>
  <si>
    <t>7.2.2</t>
  </si>
  <si>
    <t>016989</t>
  </si>
  <si>
    <t xml:space="preserve">КЛ-6кВ від РП «Подпольный» до ТП-484 м.Херсон </t>
  </si>
  <si>
    <t>7.2.3</t>
  </si>
  <si>
    <t>016336</t>
  </si>
  <si>
    <t xml:space="preserve">КЛ-6кВ від ТП-39 до ТП-450 м.Херсон </t>
  </si>
  <si>
    <t>8</t>
  </si>
  <si>
    <t>КЛ-0,4 кВ, усього</t>
  </si>
  <si>
    <t>8.1</t>
  </si>
  <si>
    <t>8.1.1</t>
  </si>
  <si>
    <t>8.2</t>
  </si>
  <si>
    <t>8.2.1</t>
  </si>
  <si>
    <t>016171</t>
  </si>
  <si>
    <t xml:space="preserve">КЛ-0,4кВ від ТП-500 до в/п котельної м.Херсон </t>
  </si>
  <si>
    <t>8.2.2</t>
  </si>
  <si>
    <t>016233</t>
  </si>
  <si>
    <t>КЛ-0,4кВ від ТП-842 м.Херсон</t>
  </si>
  <si>
    <t>8.2.3</t>
  </si>
  <si>
    <t>016830</t>
  </si>
  <si>
    <t>КЛ-0,4кВ від ТП-548 м.Херсон (дволанцюгова)</t>
  </si>
  <si>
    <t>8.2.4</t>
  </si>
  <si>
    <t>016111</t>
  </si>
  <si>
    <t>КЛ-0,4кВ від ТП-282 до оп.№1 ПЛ-0,4кВ м.Херсон</t>
  </si>
  <si>
    <t>8.2.5</t>
  </si>
  <si>
    <t>017076</t>
  </si>
  <si>
    <t xml:space="preserve">КЛ-0,4кВ від ТП-758 до оп.№34 ПЛ-0,4кВ м.Херсон </t>
  </si>
  <si>
    <t>9</t>
  </si>
  <si>
    <t>ПС з вищим класом напруги 110 (150) кВ, усього</t>
  </si>
  <si>
    <t>9.1</t>
  </si>
  <si>
    <t>9.1.1</t>
  </si>
  <si>
    <t>І пусковий комплекс І черги будівництва ПС 150/35/10 кВ «Нова» та заходів  ПЛ-35-150 кВ</t>
  </si>
  <si>
    <t>9.2</t>
  </si>
  <si>
    <t>9.2.1</t>
  </si>
  <si>
    <t>013239</t>
  </si>
  <si>
    <t>Рекострукція пристроїв РЗА ПС — 150/35/10 кВ «Новотроицкая». Заміна панелі ЕПЗ — 1636-67/2   ВЕО-150 на пристрій ДІАМАНТ L014</t>
  </si>
  <si>
    <t>9.2.2</t>
  </si>
  <si>
    <t>000576</t>
  </si>
  <si>
    <t xml:space="preserve">Реконструкція пристроїв РЗА ПС 150/35/6 кВ «ХНПЗ».  Заміна панелі  ДФЗ-201 на пристрій ДІАМАНТ L031 на ПЛ-150 «Коммунальная» </t>
  </si>
  <si>
    <t>9.2.3</t>
  </si>
  <si>
    <t>000582</t>
  </si>
  <si>
    <t>Реконструкція системи живлення постійного струму ПС — 150/35/10 «Промышленная» з монтажем шафи постійного оперативного струму ШОТ-01(або аналог)</t>
  </si>
  <si>
    <t>9.2.4</t>
  </si>
  <si>
    <t>026505</t>
  </si>
  <si>
    <t>Реконструкція ПС-150/35/10 «Цюрупинская». Монтаж підзарядного пристрою акумуляторної батареї типу RU-2 в шафу ШОТ-01 (Або аналог)</t>
  </si>
  <si>
    <t>9.2.5</t>
  </si>
  <si>
    <t>015005</t>
  </si>
  <si>
    <t>Реконструкція системи живлення постійного струму ПС — 150/35/10 «ГНС-СОС» з монтажем підзарядного пристрою акумуляторної батареї типу ШПКЕ-9801(або аналог)</t>
  </si>
  <si>
    <t>9.2.6</t>
  </si>
  <si>
    <t>015002</t>
  </si>
  <si>
    <t>ПС 150 «ГНС КОС» ВВ- 35- Орошение -1 встановлення мікропроцесорного пристрою типу МРЗС -05М</t>
  </si>
  <si>
    <t>9.3</t>
  </si>
  <si>
    <t>модернізація, усього</t>
  </si>
  <si>
    <t>9.3.1</t>
  </si>
  <si>
    <t>10</t>
  </si>
  <si>
    <t>ПС з вищим класом напруги 35 кВ, усього</t>
  </si>
  <si>
    <t>10.1</t>
  </si>
  <si>
    <t>10.1.1</t>
  </si>
  <si>
    <t>10.2</t>
  </si>
  <si>
    <t>10.2.1</t>
  </si>
  <si>
    <t>000549, 000550</t>
  </si>
  <si>
    <t xml:space="preserve">ПС 35 кВ “Кошевая”.  Заміна масляних вимикачів на вакуумні 10 кВ (2 шт) </t>
  </si>
  <si>
    <t>10.2.2.1</t>
  </si>
  <si>
    <t>009079</t>
  </si>
  <si>
    <t>Система реєстрації перерв в електропостачанні ПС-35/10кВ “Геническая”</t>
  </si>
  <si>
    <t>июль</t>
  </si>
  <si>
    <t>10.2.2.2</t>
  </si>
  <si>
    <t>003284</t>
  </si>
  <si>
    <t>Система реєстрації перерв в електропостачанні ПС-35/10кВ “В.Олександровка”</t>
  </si>
  <si>
    <t>ноябрь</t>
  </si>
  <si>
    <t>10.2.2.3</t>
  </si>
  <si>
    <t>007625</t>
  </si>
  <si>
    <t>Система реєстрації перерв в електропостачанні ПС-35/10кВ “В.Лепетиха”</t>
  </si>
  <si>
    <t>октябрь</t>
  </si>
  <si>
    <t>10.2.2.4</t>
  </si>
  <si>
    <t>008181</t>
  </si>
  <si>
    <t>Система реєстрації перерв в електропостачанні ПС-35/10кВ “В.Рогачик”</t>
  </si>
  <si>
    <t>окт</t>
  </si>
  <si>
    <t>10.2.2.5</t>
  </si>
  <si>
    <t>006077</t>
  </si>
  <si>
    <t>Система реєстрації перерв в електропостачанні ПС-35/10кВ “Скадовская”</t>
  </si>
  <si>
    <t>10.2.2.6</t>
  </si>
  <si>
    <t>004502</t>
  </si>
  <si>
    <t>Система реєстрації перерв в електропостачанні ПС-35/10кВ “Голопристанская”</t>
  </si>
  <si>
    <t>апр</t>
  </si>
  <si>
    <t>10.2.2.7</t>
  </si>
  <si>
    <t>014909</t>
  </si>
  <si>
    <t>Система реєстрації перерв в електропостачанні ПС-35/10/6кВ “Щорса”</t>
  </si>
  <si>
    <t>июнь</t>
  </si>
  <si>
    <t>10.2.2.8</t>
  </si>
  <si>
    <t>011078</t>
  </si>
  <si>
    <t>Система реєстрації перерв в електропостачанні ПС-35/10/6кВ “Каховка”</t>
  </si>
  <si>
    <t>август</t>
  </si>
  <si>
    <t>10.2.2.9</t>
  </si>
  <si>
    <t>009704</t>
  </si>
  <si>
    <t>Система реєстрації перерв в електропостачанні ПС-35/10кВ “Горностаевка”</t>
  </si>
  <si>
    <t>авг</t>
  </si>
  <si>
    <t>10.2.2.10</t>
  </si>
  <si>
    <t>011809</t>
  </si>
  <si>
    <t>Система реєстрації перерв в електропостачанні ПС-35/10кВ “Ивановка”</t>
  </si>
  <si>
    <t>сент</t>
  </si>
  <si>
    <t>10.2.2.11</t>
  </si>
  <si>
    <t>012159</t>
  </si>
  <si>
    <t>Система реєстрації перерв в електропостачанні ПС-35/10кВ “Н.Серогозы”</t>
  </si>
  <si>
    <t>10.2.2.12</t>
  </si>
  <si>
    <t>001740</t>
  </si>
  <si>
    <t>Система реєстрації перерв в електропостачанні ПС-35/10кВ “Белозерская”</t>
  </si>
  <si>
    <t>10.2.2.13</t>
  </si>
  <si>
    <t>006653</t>
  </si>
  <si>
    <t>Система реєстрації перерв в електропостачанні ПС-35/10кВ “Лесная”</t>
  </si>
  <si>
    <t>апрель</t>
  </si>
  <si>
    <t>10.2.2.14</t>
  </si>
  <si>
    <t>002535</t>
  </si>
  <si>
    <t>Система реєстрації перерв в електропостачанні ПС-35/10кВ “Зоря”</t>
  </si>
  <si>
    <t>10.2.3</t>
  </si>
  <si>
    <t>000489</t>
  </si>
  <si>
    <t>ПС 35 «Комсомольская» Встановлення мікропроцесорного пристрою типу МРЗС -05М на ПЛ6кВ</t>
  </si>
  <si>
    <t>10.2.4</t>
  </si>
  <si>
    <t>ПС 35 «Комсомольская» Встановлення мікропроцесорного пристрою типу МРЗС -05М (ввода 6кВ силових трансформаторів 1Т та 2Т )</t>
  </si>
  <si>
    <t>10.2.5</t>
  </si>
  <si>
    <t>ПС 35 «Комсомольская» Встановлення мікропроцесорного пристрою типу МРЗС -05М (секційний вимикач 6кВ)</t>
  </si>
  <si>
    <t>10.3</t>
  </si>
  <si>
    <t>10.3.1</t>
  </si>
  <si>
    <t>11</t>
  </si>
  <si>
    <t>ТП, РП-6 (10) кВ, усього</t>
  </si>
  <si>
    <t>11.1</t>
  </si>
  <si>
    <t>11.1.1</t>
  </si>
  <si>
    <t>11.2</t>
  </si>
  <si>
    <t>11.2.1</t>
  </si>
  <si>
    <t>11.3</t>
  </si>
  <si>
    <t>Високопільський РЕЗ і ЕМ</t>
  </si>
  <si>
    <t>11.3.1</t>
  </si>
  <si>
    <t>003331</t>
  </si>
  <si>
    <t>КТП-256 160/10/0,4 с.Н.Калуга</t>
  </si>
  <si>
    <t>11.3.2</t>
  </si>
  <si>
    <t>003784</t>
  </si>
  <si>
    <t>КТП-79 160/10/0,4 смт.Високопілля</t>
  </si>
  <si>
    <t>11.3.3</t>
  </si>
  <si>
    <t>003779</t>
  </si>
  <si>
    <t>КТП-62 100/10/0,4 с.Новомиколаївка</t>
  </si>
  <si>
    <t>11.3.4</t>
  </si>
  <si>
    <t>005270</t>
  </si>
  <si>
    <t>КТП-97 160/10/0,4 с.Нововоскресенівка</t>
  </si>
  <si>
    <t>11.3.5</t>
  </si>
  <si>
    <t>005341</t>
  </si>
  <si>
    <t>КТП-58 100/10/0,4 с.Золота Балка</t>
  </si>
  <si>
    <t>Генічеський РЕЗ і ЕМ</t>
  </si>
  <si>
    <t>11.3.6</t>
  </si>
  <si>
    <t>008882</t>
  </si>
  <si>
    <t>ЗТП-770 160/10/0,4 с.Генічеська Гірка</t>
  </si>
  <si>
    <t>11.3.7</t>
  </si>
  <si>
    <t>008999</t>
  </si>
  <si>
    <t>КТП-537 100/10/0,4 с.Сокологорне</t>
  </si>
  <si>
    <t>11.3.8</t>
  </si>
  <si>
    <t>008969</t>
  </si>
  <si>
    <t>КТП-313 160/10/0,4 с.Н.Григор'ївка</t>
  </si>
  <si>
    <t>Голопристанський РЕЗ і ЕМ</t>
  </si>
  <si>
    <t>11.3.9</t>
  </si>
  <si>
    <t>004550</t>
  </si>
  <si>
    <t>КТП-186 63/10/0,4 с.С.Збур'ївка</t>
  </si>
  <si>
    <t>11.3.10</t>
  </si>
  <si>
    <t>004552</t>
  </si>
  <si>
    <t>КТП-188 100/10/0,4 с.Малі Копані</t>
  </si>
  <si>
    <t>11.3.11</t>
  </si>
  <si>
    <t>004757</t>
  </si>
  <si>
    <t>КТП-1086 100/10/0,4 с.Більшовик</t>
  </si>
  <si>
    <t>Іванівський РЕЗ і ЕМ</t>
  </si>
  <si>
    <t>11.3.12</t>
  </si>
  <si>
    <t>011773</t>
  </si>
  <si>
    <t>КТП-347 100/10/0,4 с.Іванівка</t>
  </si>
  <si>
    <t>11.3.13</t>
  </si>
  <si>
    <t>012163</t>
  </si>
  <si>
    <t>КТП-8 100/10/0,4 с.Н.Сірогози</t>
  </si>
  <si>
    <t>11.3.14</t>
  </si>
  <si>
    <t>012358</t>
  </si>
  <si>
    <t>КТП-198 100/10/0,4 с.Н.Сірогози</t>
  </si>
  <si>
    <t>Н. Каховський РЕЗ і ЕМ</t>
  </si>
  <si>
    <t>11.3.15</t>
  </si>
  <si>
    <t>002416</t>
  </si>
  <si>
    <t>ТП-507 100/10/0,4 с.Змієвка</t>
  </si>
  <si>
    <t>11.3.16</t>
  </si>
  <si>
    <t>014770</t>
  </si>
  <si>
    <t>ТП-22 2Т 630/6/0,4 м.Н.Каховка</t>
  </si>
  <si>
    <t>11.3.17</t>
  </si>
  <si>
    <t>014871</t>
  </si>
  <si>
    <t>КТП-130 250/10/0,4 с.Дніпряни</t>
  </si>
  <si>
    <t>Скадовський РЕЗ і ЕМ</t>
  </si>
  <si>
    <t>11.3.18</t>
  </si>
  <si>
    <t>005924</t>
  </si>
  <si>
    <t>КТП-125 160/10/0,4 с.Гостроподалянське</t>
  </si>
  <si>
    <t>11.3.19</t>
  </si>
  <si>
    <t>005980</t>
  </si>
  <si>
    <t>КТП-139 250/10/0,4 с.Новомиколаївка</t>
  </si>
  <si>
    <t>11.3.20</t>
  </si>
  <si>
    <t>018098</t>
  </si>
  <si>
    <t>ТП-492 1Т 250/10/0,4 м.Херсон</t>
  </si>
  <si>
    <t>11.3.21</t>
  </si>
  <si>
    <t>018059</t>
  </si>
  <si>
    <t>КТП-798 250/10/0,4 м.Херсон</t>
  </si>
  <si>
    <t>11.3.22</t>
  </si>
  <si>
    <t>019258</t>
  </si>
  <si>
    <t>ТП-763 1Т 400/6/0,4 м.Херсон</t>
  </si>
  <si>
    <t>Цюрупинський РЕЗ і ЕМ</t>
  </si>
  <si>
    <t>11.3.23</t>
  </si>
  <si>
    <t>023372</t>
  </si>
  <si>
    <t>КТП-74 160/10/0,4 с.Підлісне</t>
  </si>
  <si>
    <t>11.3.24</t>
  </si>
  <si>
    <t>006788</t>
  </si>
  <si>
    <t>КТП-611 160/10/0,4 с.Виноградове</t>
  </si>
  <si>
    <t>11.3.25</t>
  </si>
  <si>
    <t>022784</t>
  </si>
  <si>
    <t>КТП-642 100/10/0,4 с.Абрикосівка</t>
  </si>
  <si>
    <t>Чаплинський РЕЗ і ЕМ</t>
  </si>
  <si>
    <t>11.3.26</t>
  </si>
  <si>
    <t>013723</t>
  </si>
  <si>
    <t>КТП-329 160/10/0,4 с.Кудряве</t>
  </si>
  <si>
    <t>11.3.27</t>
  </si>
  <si>
    <t>013826</t>
  </si>
  <si>
    <t>ЗТП-347 250/10/0,4 с.К.Володимірівка</t>
  </si>
  <si>
    <t>11.3.28</t>
  </si>
  <si>
    <t>010321</t>
  </si>
  <si>
    <t>КТП-376 100/10/0,4 с.Ставки</t>
  </si>
  <si>
    <t>12</t>
  </si>
  <si>
    <t xml:space="preserve">Інше, всього </t>
  </si>
  <si>
    <t>12.1</t>
  </si>
  <si>
    <t>ПКД майбутніх років</t>
  </si>
  <si>
    <t>12.1.1</t>
  </si>
  <si>
    <t>008382</t>
  </si>
  <si>
    <t>ПКД з реконструкції КЛ-10кВ Ф-652 від оп. №24 до оп. №25 у м.Генічеськ</t>
  </si>
  <si>
    <t>12.1.2</t>
  </si>
  <si>
    <t>008659</t>
  </si>
  <si>
    <t>ПКД з реконструкції КЛ-10кВ від ТП-040 до ТП-051 у м. Генічеськ</t>
  </si>
  <si>
    <t>12.1.3</t>
  </si>
  <si>
    <t>016727</t>
  </si>
  <si>
    <t>ПКД з реконструкції дволанцюгової КЛ-6кВ від ПС «Сухарная» до ТП-826 у м.Херсоні</t>
  </si>
  <si>
    <t>12.1.4</t>
  </si>
  <si>
    <t>016724</t>
  </si>
  <si>
    <t>ПКД з реконструкції дволанцюгової КЛ-6кВ від ПС «Сухарная» до ТП-825 у м.Херсоні</t>
  </si>
  <si>
    <t>12.1.5</t>
  </si>
  <si>
    <t>016534</t>
  </si>
  <si>
    <t>ПКД з реконструкції КЛ-6кВ від ПС «Комбайновая» до оп. №1 Ф-3933 у м.Херсоні</t>
  </si>
  <si>
    <t>12.1.6</t>
  </si>
  <si>
    <t>ПКД з реконструкції КЛ-6кВ від ПС «Комбайновая» до оп. №1 Ф-3921 у м.Херсоні</t>
  </si>
  <si>
    <t>12.1.7</t>
  </si>
  <si>
    <t>016479</t>
  </si>
  <si>
    <t>ПКД з реконструкції КЛ-6кВ від ТП-208 до ТП-189 у м.Херсоні</t>
  </si>
  <si>
    <t>12.1.8</t>
  </si>
  <si>
    <t>016489</t>
  </si>
  <si>
    <r>
      <rPr>
        <sz val="11"/>
        <color indexed="8"/>
        <rFont val="Times New Roman"/>
        <family val="1"/>
      </rPr>
      <t xml:space="preserve">ПКД з </t>
    </r>
    <r>
      <rPr>
        <sz val="11"/>
        <color indexed="8"/>
        <rFont val="Times New Roman"/>
        <family val="1"/>
      </rPr>
      <t>реконструкції КЛ-6кВ від РП «Чорноморський» до ТП-218 у 
м.Херсоні</t>
    </r>
  </si>
  <si>
    <t>12.1.9</t>
  </si>
  <si>
    <t>016492</t>
  </si>
  <si>
    <t>ПКД з реконструкції КЛ-6кВ від ТП-220 до ТП-206 у м.Херсоні</t>
  </si>
  <si>
    <t>12.1.10</t>
  </si>
  <si>
    <t>015761</t>
  </si>
  <si>
    <r>
      <rPr>
        <sz val="11"/>
        <color indexed="8"/>
        <rFont val="Times New Roman"/>
        <family val="1"/>
      </rPr>
      <t xml:space="preserve">ПКД з </t>
    </r>
    <r>
      <rPr>
        <sz val="11"/>
        <color indexed="8"/>
        <rFont val="Times New Roman"/>
        <family val="1"/>
      </rPr>
      <t>реконструкції дволанцюгової КЛ-6кВ від ПС «Кошова» до РП «Подпольний» у м.Херсоні</t>
    </r>
  </si>
  <si>
    <t>12.1.11</t>
  </si>
  <si>
    <t>015788</t>
  </si>
  <si>
    <r>
      <rPr>
        <sz val="11"/>
        <color indexed="8"/>
        <rFont val="Times New Roman"/>
        <family val="1"/>
      </rPr>
      <t xml:space="preserve">ПКД з </t>
    </r>
    <r>
      <rPr>
        <sz val="11"/>
        <color indexed="8"/>
        <rFont val="Times New Roman"/>
        <family val="1"/>
      </rPr>
      <t>реконструкції КЛ-6кВ від РП «Чорноморський» до ТП-549 у 
м.Херсоні</t>
    </r>
  </si>
  <si>
    <t>12.1.12</t>
  </si>
  <si>
    <t>016523</t>
  </si>
  <si>
    <t>ПКД з реконструкції КЛ-6кВ від ТП-100 до ТП-704 у м.Херсоні</t>
  </si>
  <si>
    <t>12.1.13</t>
  </si>
  <si>
    <t>016318</t>
  </si>
  <si>
    <r>
      <rPr>
        <sz val="11"/>
        <color indexed="8"/>
        <rFont val="Times New Roman"/>
        <family val="1"/>
      </rPr>
      <t xml:space="preserve">ПКД з </t>
    </r>
    <r>
      <rPr>
        <sz val="11"/>
        <color indexed="8"/>
        <rFont val="Times New Roman"/>
        <family val="1"/>
      </rPr>
      <t>реконструкції КЛ-6кВ від РП «Чорноморський» до ТП-27 у
м.Херсоні</t>
    </r>
  </si>
  <si>
    <t>12.1.14</t>
  </si>
  <si>
    <t>ПКД з реконструкції КЛ-6кВ від ПС «Кіндійськая» до ТП-208 у м.Херсоні</t>
  </si>
  <si>
    <t>12.1.15</t>
  </si>
  <si>
    <t>017042</t>
  </si>
  <si>
    <t>ПКД з реконструкції КЛ-6кВ від ТП-373 до ТП-189 у м.Херсоні</t>
  </si>
  <si>
    <t>12.1.16</t>
  </si>
  <si>
    <t>017057</t>
  </si>
  <si>
    <r>
      <rPr>
        <sz val="11"/>
        <color indexed="8"/>
        <rFont val="Times New Roman"/>
        <family val="1"/>
      </rPr>
      <t xml:space="preserve">ПКД з </t>
    </r>
    <r>
      <rPr>
        <sz val="11"/>
        <color indexed="8"/>
        <rFont val="Times New Roman"/>
        <family val="1"/>
      </rPr>
      <t>реконструкції дволанцюгової КЛ-10кВ від ТП-529 до ТП-530 у 
м.Херсоні</t>
    </r>
  </si>
  <si>
    <t>12.1.17</t>
  </si>
  <si>
    <t>008384</t>
  </si>
  <si>
    <r>
      <rPr>
        <sz val="11"/>
        <color indexed="8"/>
        <rFont val="Times New Roman"/>
        <family val="1"/>
      </rPr>
      <t xml:space="preserve">ПКД з </t>
    </r>
    <r>
      <rPr>
        <sz val="11"/>
        <color indexed="8"/>
        <rFont val="Times New Roman"/>
        <family val="1"/>
      </rPr>
      <t>реконструкції КЛ-10кВ від ПС «Партизани» до оп. №1 КТП-222 у смт.Партизани</t>
    </r>
  </si>
  <si>
    <t>12.1.18</t>
  </si>
  <si>
    <t>008344</t>
  </si>
  <si>
    <t>ПКД з реконструкції КЛ-10кВ Ф-632 від оп. №56 до оп. №57 у м.Генічеськ</t>
  </si>
  <si>
    <t>12.1.19</t>
  </si>
  <si>
    <t>016907</t>
  </si>
  <si>
    <t>ПКД з реконструкції двох КЛ-0,4кВ від ТП-441 до ж/б по вул. Петренко, 87 у м.Херсоні</t>
  </si>
  <si>
    <t>12.1.20</t>
  </si>
  <si>
    <t>001456</t>
  </si>
  <si>
    <t>ПКД з реконструкції ПЛ-0,4кВ від КТП-832 у с.Степанівка</t>
  </si>
  <si>
    <t>12.1.21</t>
  </si>
  <si>
    <t>015417</t>
  </si>
  <si>
    <t>ПКД з реконструкції ПЛ-0,4кВ від КТП-975 у м.Херсоні</t>
  </si>
  <si>
    <t>12.1.22</t>
  </si>
  <si>
    <t>015700</t>
  </si>
  <si>
    <t>ПКД з реконструкції ПЛ-0,4кВ від КТП-785 у м.Херсоні</t>
  </si>
  <si>
    <t>12.1.23</t>
  </si>
  <si>
    <t>024930</t>
  </si>
  <si>
    <t>ПКД з реконструкції ПЛ-0,4кВ від КТП-882 у м.Херсоні</t>
  </si>
  <si>
    <t>12.1.24</t>
  </si>
  <si>
    <t>015488</t>
  </si>
  <si>
    <t>ПКД з реконструкції ПЛ-0,4кВ від КТП-21 у м.Херсоні</t>
  </si>
  <si>
    <t>12.1.25</t>
  </si>
  <si>
    <t>006368</t>
  </si>
  <si>
    <t>ПКД з реконструкції ПЛ-0,4кВ від КТП-610 у м.Цюрупинськ</t>
  </si>
  <si>
    <t>12.1.26</t>
  </si>
  <si>
    <t>006424</t>
  </si>
  <si>
    <t>ПКД з реконструкції ПЛ-0,4кВ від КТП-589 у м.Цюрупинськ</t>
  </si>
  <si>
    <t>12.1.27</t>
  </si>
  <si>
    <t>008508</t>
  </si>
  <si>
    <t>ПКД з реконструкції ПЛ-0,4кВ від ТП-025 у м.Генічеськ</t>
  </si>
  <si>
    <t>—</t>
  </si>
  <si>
    <t>* За наявності проектної документації вказати дату і номер документа про її затвердження.</t>
  </si>
  <si>
    <t>У разі відсутності проектної документації вказати дату, до якої планується виготовлення цієї документації.</t>
  </si>
  <si>
    <t>5.2. Заходи зі зниження нетехнічних витрат електричної енергії</t>
  </si>
  <si>
    <t>у т.ч. по роках:</t>
  </si>
  <si>
    <t>економічний ефект (зниження ТВЕ)</t>
  </si>
  <si>
    <t>Покращення обліку електричної енергії,
у т.ч.:</t>
  </si>
  <si>
    <t xml:space="preserve">  впровадження  комерційного обліку 
  електричної енергії </t>
  </si>
  <si>
    <t xml:space="preserve">  впровадження обліку електричної енергії на межі структурних підрозділів (районів електричних мереж, філій)</t>
  </si>
  <si>
    <t xml:space="preserve">заміна вимірювальних трансформаторів </t>
  </si>
  <si>
    <t>ТС 0,4 кВ</t>
  </si>
  <si>
    <t>ТС, ТН 6(10)-150 кВ</t>
  </si>
  <si>
    <t>впровадження обліку споживання електричної енергії населенням, у т.ч.:</t>
  </si>
  <si>
    <t>сільським</t>
  </si>
  <si>
    <t>міським</t>
  </si>
  <si>
    <t>придбання стендів повірки, зразкових лічильників, повірочних лабораторій</t>
  </si>
  <si>
    <t>5.3. Впровадження та розвиток АСДТК</t>
  </si>
  <si>
    <t>Придбання та впровадження засобів диспетчерсько-технологічного керування замість морально і фізично зношених та для розширення наявних, у т.ч.:</t>
  </si>
  <si>
    <t>Система керування й отримання даних</t>
  </si>
  <si>
    <t>Телемеханіка підстанцій</t>
  </si>
  <si>
    <t>Архіватори мови</t>
  </si>
  <si>
    <t>Цифрові реєстратори подій</t>
  </si>
  <si>
    <t>5.3.1. Етапи впровадження проекту АСДТК ліцензіата</t>
  </si>
  <si>
    <t>Назва складової частини проекта</t>
  </si>
  <si>
    <t>Період реалізації складової частини проекту</t>
  </si>
  <si>
    <t>Вартість реалізації складової частини проекту відповідно до проектної документації,
тис. грн (без ПДВ)</t>
  </si>
  <si>
    <t>Фактичне фінансування реалізації складової частини проекту станом на дату початку базового періоду,
тис. грн (без ПДВ)</t>
  </si>
  <si>
    <t>Фінансування реалізації складової частини проекту, передбачене інвестиційною програмою на базовий період,
тис. грн (без ПДВ)</t>
  </si>
  <si>
    <t>Фінансування, передбачене на реалізацію складової частини проекту інвестиційною програмою на прогнозний період,
тис. грн (без ПДВ)</t>
  </si>
  <si>
    <t>Сума коштів, необхідна для завершення реалізації складової частини проекту з розбивкою по роках,
тис. грн (без ПДВ)</t>
  </si>
  <si>
    <t>Телемеханізації ПС-150кВ «Чулаковская»</t>
  </si>
  <si>
    <t>Розробка проекту телемеханізації ПС-154кВ “Коммунальная”</t>
  </si>
  <si>
    <t>Розробка проекту телемеханізації ПС-154кВ “Посад-Покровская”</t>
  </si>
  <si>
    <t>Телемеханізації ПС-35кВ «Консервная»</t>
  </si>
  <si>
    <t>5</t>
  </si>
  <si>
    <t>Телемеханізації ПС-150кВ «Н.Троицкая»</t>
  </si>
  <si>
    <t>6</t>
  </si>
  <si>
    <t>Телемеханізації ПС-35кВ «Очистные сооружения»</t>
  </si>
  <si>
    <t>Розробка проекту телемеханізації ПС-35кВ “Джержинская”</t>
  </si>
  <si>
    <t>Розробка проекту телемеханізації ПС-154кВ “Никольская”</t>
  </si>
  <si>
    <t>Телемеханізації ПС-150кВ «Трифоновка»</t>
  </si>
  <si>
    <t>Телемеханізації ПС-35кВ“Джержинская”</t>
  </si>
  <si>
    <t>Розробка проекту телемеханізації ПС-154кВ “Промышленная”</t>
  </si>
  <si>
    <t>Розробка проекту телемеханізації ПС-35кВ “Заводская”</t>
  </si>
  <si>
    <t>13</t>
  </si>
  <si>
    <t>Телемеханізація ПС-154кВ “Коммунальная”</t>
  </si>
  <si>
    <t>14</t>
  </si>
  <si>
    <t>Телемеханізація  ПС-154кВ “Посад-Покровская”</t>
  </si>
  <si>
    <t>15</t>
  </si>
  <si>
    <t>Розробка проекту телемеханізації ПС-154кВ “Бериславская”</t>
  </si>
  <si>
    <t>16</t>
  </si>
  <si>
    <t>Розробка проекту телемеханізації ПС-35кВ “Киндийская”</t>
  </si>
  <si>
    <t>17</t>
  </si>
  <si>
    <t>Телемеханізація ПС-35кВ “Заводская”</t>
  </si>
  <si>
    <t>18</t>
  </si>
  <si>
    <t>Телемеханізація ПС-154кВ “Никольская”</t>
  </si>
  <si>
    <t>19</t>
  </si>
  <si>
    <t>Розробка проекту телемеханізації ПС-154кВ “Дудчино”</t>
  </si>
  <si>
    <t>20</t>
  </si>
  <si>
    <t>Розробка проекту телемеханізації ПС-35кВ “Сухарная ”</t>
  </si>
  <si>
    <t xml:space="preserve">                                                                                Вартість реалізації на наступні роки:</t>
  </si>
  <si>
    <t>2017р</t>
  </si>
  <si>
    <t>2018р</t>
  </si>
  <si>
    <t>2019р</t>
  </si>
  <si>
    <t>2020р</t>
  </si>
  <si>
    <t xml:space="preserve">        (прізвище, ім'я, по батькові)</t>
  </si>
  <si>
    <t>5.4. Впровадження та розвиток інформаційних технологій</t>
  </si>
  <si>
    <t>Закупівля нових та модернізація наявних апаратних засобів інформатизації, у т.ч.:</t>
  </si>
  <si>
    <t>закупівля  та модернізація робочих станцій</t>
  </si>
  <si>
    <t>закупівля  та модернізація серверів</t>
  </si>
  <si>
    <t>закупівля  та модернізація активного обладнання комп'ютерних мереж</t>
  </si>
  <si>
    <t>побудова та модернізація структурованих кабельних мереж</t>
  </si>
  <si>
    <t>інші засоби інформатизації</t>
  </si>
  <si>
    <t>Закупівля системного програмного забезпечення, у т.ч.:</t>
  </si>
  <si>
    <t>для робочих станцій</t>
  </si>
  <si>
    <t>для серверів</t>
  </si>
  <si>
    <t>2.3</t>
  </si>
  <si>
    <t>інше</t>
  </si>
  <si>
    <t>Закупівля та модернізація прикладного програмного забезпечення, у т.ч.:</t>
  </si>
  <si>
    <t xml:space="preserve">офісного </t>
  </si>
  <si>
    <t>захисту інформації</t>
  </si>
  <si>
    <t>3.3</t>
  </si>
  <si>
    <t>геоінформаційних систем</t>
  </si>
  <si>
    <t>3.4</t>
  </si>
  <si>
    <t>систем електронного документообігу</t>
  </si>
  <si>
    <t>3.5</t>
  </si>
  <si>
    <t>білінгових систем</t>
  </si>
  <si>
    <t>3.6</t>
  </si>
  <si>
    <t>систем керування взаємовідносинами зі споживачами</t>
  </si>
  <si>
    <t>3.7</t>
  </si>
  <si>
    <t>інформаційних систем управління виробництвом</t>
  </si>
  <si>
    <t>3.8</t>
  </si>
  <si>
    <t>Впровадження та модернізація контакт-центрів</t>
  </si>
  <si>
    <t>5.5. Впровадження та розвиток систем зв'язку</t>
  </si>
  <si>
    <t>економічний ефект (окупність у роках)</t>
  </si>
  <si>
    <t>Системи зв'язку, у т.ч.:</t>
  </si>
  <si>
    <t>впровадження корпоративного зв'язку ліцензіата</t>
  </si>
  <si>
    <t>цифрові автоматичні телефонні станції (АТС)</t>
  </si>
  <si>
    <t>модернізація наявних видів зв'язку (радіо, високочастотні, радіорелейні тощо)</t>
  </si>
  <si>
    <t>резервне електроживлення засобів зв'язку</t>
  </si>
  <si>
    <t>Придбання обладнання, що не вимагає монтажу</t>
  </si>
  <si>
    <t>5.5.1. Етапи впровадження системи зв'язку</t>
  </si>
  <si>
    <t>Вартість реалізації складової частини проекту відповідно до проектної документації,
тис. грн (з ПДВ)</t>
  </si>
  <si>
    <t>Фактичне фінансування реалізації складової частини проекту станом на дату початку базового періоду,
тис. грн (з ПДВ)</t>
  </si>
  <si>
    <t>Фінансування реалізації складової частини проекту, передбачене інвестиційною програмою на базовий період,
тис. грн (з ПДВ)</t>
  </si>
  <si>
    <t>Фінансування, передбачене на реалізацію складової частини проекту інвестиційною програмою на прогнозний період,
тис. грн (з ПДВ)</t>
  </si>
  <si>
    <t>Сума коштів, необхідна для завершення реалізації складової частини проекту з розбивкою по роках,
тис. грн (з ПДВ)</t>
  </si>
  <si>
    <t>Упровадження та розвиток магістральних ліній зв'язку, у тому числі:</t>
  </si>
  <si>
    <t>Будівництво радіорелейної лінії (РРЛ)  Берислав – ПС 150кВ "ГНС СОС"  на базі РРС типу Caragon</t>
  </si>
  <si>
    <t>Будівництво радіорелейної лінії (РРЛ)   ПС 150кВ "ГНС СОС" -ПС 150 кВ "Дудчино" на базі РРС типу Caragon</t>
  </si>
  <si>
    <t>Будівництво радіорелейної лінії (РРЛ)   ПС 150 кВ "Дудчино" – ПС 35кВ "Подовое" на базі РРС типу Caragon</t>
  </si>
  <si>
    <t>Будівництво радіорелейної лінії (РРЛ)    ПС 35кВ "Подовое"-ПС 150 кВ "Н. Троицкая"   на базі РРС типу Caragon</t>
  </si>
  <si>
    <t>Будівництво радіорелейної лінії (РРЛ)  ПС 150 кВ "Н. Троицкая" –            ПС 150кВ "Н.Алексеевка" на базі РРС типу Caragon</t>
  </si>
  <si>
    <t>1.6</t>
  </si>
  <si>
    <t>Будівництво радіорелейної лінії (РРЛ)  ПС 150 кВ "Н.Алексеевка" – Генічеськ на базі РРС типу Caragon</t>
  </si>
  <si>
    <t>1.7</t>
  </si>
  <si>
    <t>Будівництво радіорелейної лінії (РРЛ)    зв’язку Виноградово - Каланчак на базі РРС типу Caragon</t>
  </si>
  <si>
    <t>1.8</t>
  </si>
  <si>
    <t>Будівництво радіорелейної лінії (РРЛ) Чаплинка –ПС 150 кВ "Дудчино" на базі РРС типу Caragon</t>
  </si>
  <si>
    <t>1.9</t>
  </si>
  <si>
    <t>Будівництво радіорелейної лінії (РРЛ) Берислав - Горностаївка на базі РРС типу Caragon</t>
  </si>
  <si>
    <t>1.10</t>
  </si>
  <si>
    <t>Будівництв радіорелейної лінії ї (РРЛ) зв’язку Горностаївка –ПС-150кВ Рубановка  на базі РРС типу Caragon</t>
  </si>
  <si>
    <t>Упровадження та розвиток ліній зв'язку "останньої милі",
у тому числі:</t>
  </si>
  <si>
    <t>Установлення та заміна каналоутворювального та комутаційного обладнання (зокрема АТС), у тому числі:</t>
  </si>
  <si>
    <t>Побудова корпоративної телефонної мережі на базі обладнання АТС “Avaya Aura Communication Manager”</t>
  </si>
  <si>
    <t>Упровадження та розвиток локальних обчислювальних мереж (зокрема СКС),
у тому числі:</t>
  </si>
  <si>
    <t>______І.М.Сафронов_________________________</t>
  </si>
  <si>
    <t>5.6. Модернізація та закупівля колісної техніки</t>
  </si>
  <si>
    <t>Автовишка ГАЗ3309АР18 (або аналог)</t>
  </si>
  <si>
    <t>Рено Логан (або аналог)</t>
  </si>
  <si>
    <t>Автокран МАЗ КС5571 32т (або аналог)</t>
  </si>
  <si>
    <t>5.7. Інше</t>
  </si>
  <si>
    <t>Перевірочна установка ПТ-01(або аналог)</t>
  </si>
  <si>
    <t>Вимірювач параметрів каналів тональної частоти ТЧ-ПРО (або аналог)</t>
  </si>
  <si>
    <r>
      <rPr>
        <sz val="14"/>
        <rFont val="Times New Roman"/>
        <family val="1"/>
      </rPr>
      <t>Бензо-генератор Vitals</t>
    </r>
    <r>
      <rPr>
        <sz val="12"/>
        <color indexed="8"/>
        <rFont val="Times New Roman"/>
        <family val="1"/>
      </rPr>
      <t xml:space="preserve"> (або аналог) 5,0 кВт</t>
    </r>
  </si>
  <si>
    <t xml:space="preserve">Теодолит </t>
  </si>
  <si>
    <t>Сварочний апарат Paton (або аналог)</t>
  </si>
  <si>
    <t>Компресор Remeza (або аналог)ї</t>
  </si>
  <si>
    <t>6. Етапи виконання заходів інвестиційної програми на прогнозний період</t>
  </si>
  <si>
    <t>Найменування заходів інвестиційної програми</t>
  </si>
  <si>
    <t>Одиниця виміру</t>
  </si>
  <si>
    <t>Вартість одиниці продукції,
тис. грн
(без ПДВ)</t>
  </si>
  <si>
    <t>У тому числі по видах діяльності</t>
  </si>
  <si>
    <t>У тому числі по кварталах</t>
  </si>
  <si>
    <t>Джерело фінансування</t>
  </si>
  <si>
    <t>Найменування відповідної державної програми</t>
  </si>
  <si>
    <t>№ сторінки поясню-вальної записки</t>
  </si>
  <si>
    <t>№ сторінки обґрунто-вувальних матеріалів</t>
  </si>
  <si>
    <t>кількість</t>
  </si>
  <si>
    <t>тис. грн без ПДВ</t>
  </si>
  <si>
    <t>передача електричної енергії</t>
  </si>
  <si>
    <t>постачання електричної енергії</t>
  </si>
  <si>
    <t>І квартал</t>
  </si>
  <si>
    <t>ІІ квартал</t>
  </si>
  <si>
    <t>ІІІ квартал</t>
  </si>
  <si>
    <t>IV квартал</t>
  </si>
  <si>
    <t>5=7+9</t>
  </si>
  <si>
    <t>6=8+10</t>
  </si>
  <si>
    <t xml:space="preserve">І. Будівництво, модернізація та реконструкція електричних мереж та обладнання </t>
  </si>
  <si>
    <t>Реконструкція ПЛ-150 кВ Ках. ГПП-Дудчино</t>
  </si>
  <si>
    <t>км</t>
  </si>
  <si>
    <t>Амортизація</t>
  </si>
  <si>
    <t>Реконструкція ПЛ-0,4 кВ ізольований провід</t>
  </si>
  <si>
    <t>Реконструкція КЛ 6(10) кВ</t>
  </si>
  <si>
    <t>Реконструкція КЛ-0,4 кВ</t>
  </si>
  <si>
    <t>шт</t>
  </si>
  <si>
    <t>Заміна силових трансформаторів</t>
  </si>
  <si>
    <t>комплекс</t>
  </si>
  <si>
    <t>Амортизація-4162,69 Прибуток — 41147,00 Реактив — 15835,31</t>
  </si>
  <si>
    <t>Реактив</t>
  </si>
  <si>
    <t>Реконструкція обладнання ПС 35 кВ для створення комплексу автоматичної реєстрації перерв електропостачання фідерів (14 ПС)</t>
  </si>
  <si>
    <t>Реактив — 113,00  ТВЕ — 147,35</t>
  </si>
  <si>
    <t>ПС 35 «Комсомольская» Встановлення мікропроцесорного пристрою типу МРЗС -05М</t>
  </si>
  <si>
    <t>ТВЕ</t>
  </si>
  <si>
    <t>Всього по розділу I</t>
  </si>
  <si>
    <t>II. Заходи зі зниженню нетехнічних витрат електроенергії</t>
  </si>
  <si>
    <t>Лічильник електронний однофазний (механічна система відліку) з магнітною пломбою</t>
  </si>
  <si>
    <t>Лічильник електронний трифазний НІК 2303 АРТ 2Т 1120 3*100В 5(10)А (або аналог)</t>
  </si>
  <si>
    <t>Лічильник електронний трифазний НІК 2301АТ  (або аналог)</t>
  </si>
  <si>
    <t>Зразковий лічильник електроенергії Кл 0.1</t>
  </si>
  <si>
    <t>Індикатор роботоспромжності схем обліку електричної енергії (6кВт, вимір Ктс)</t>
  </si>
  <si>
    <t>Маршрутизатор RTR5 (або аналог)</t>
  </si>
  <si>
    <t>Всього по розділу IІ</t>
  </si>
  <si>
    <t>IІІ. Впровадження та розвиток АСДТК</t>
  </si>
  <si>
    <t>Телемеханізація ПС-150 кВ "Чулаковская"</t>
  </si>
  <si>
    <t xml:space="preserve">Багатоканальна автономна система DOGEAR </t>
  </si>
  <si>
    <t>Всього по розділу IІІ</t>
  </si>
  <si>
    <t>ІV. Впровадження та розвиток інформаційних технологій.</t>
  </si>
  <si>
    <t>Закупівля нових робочих станцій</t>
  </si>
  <si>
    <t>Комутатор 24 портовий</t>
  </si>
  <si>
    <t>Комутатор 8 портовий</t>
  </si>
  <si>
    <t>Багатофункціональний пристрій (принтер/сканер/ксерокс) формату А4</t>
  </si>
  <si>
    <t>Принтер А4(200000 стор/міс.)</t>
  </si>
  <si>
    <t>Планшетний сканер A4</t>
  </si>
  <si>
    <t>Потоковый сканер A4</t>
  </si>
  <si>
    <t>Зовнішнє мережеве сховище</t>
  </si>
  <si>
    <t>Програмне забезпечення Microsoft (MEE) (або аналог)</t>
  </si>
  <si>
    <t>Всього по розділу IV:</t>
  </si>
  <si>
    <t xml:space="preserve">V. Впровадження та розвиток систем зв'язку </t>
  </si>
  <si>
    <t>Будівництво радіорелейної лінії (РРЛ) Берислав-ПС-154 кВ “ГНС СОС”</t>
  </si>
  <si>
    <t>Будівництво радіорелейної лінії (РРЛ) ПС-154 кВ “ГНС СОС”- ПС-154 кВ “Дудчино”</t>
  </si>
  <si>
    <r>
      <rPr>
        <sz val="14"/>
        <rFont val="Times New Roman"/>
        <family val="1"/>
      </rPr>
      <t xml:space="preserve">Комунікаційний модуль </t>
    </r>
    <r>
      <rPr>
        <sz val="14"/>
        <color indexed="8"/>
        <rFont val="Times New Roman"/>
        <family val="1"/>
      </rPr>
      <t xml:space="preserve">радіомережі передавання даних з реєстраторів перерв електропостачання </t>
    </r>
    <r>
      <rPr>
        <sz val="14"/>
        <rFont val="Times New Roman"/>
        <family val="1"/>
      </rPr>
      <t>ПС-35кВ</t>
    </r>
  </si>
  <si>
    <t>Активна антена BicoLOG 30100 Х</t>
  </si>
  <si>
    <t xml:space="preserve">Активна антена MDF 930 X </t>
  </si>
  <si>
    <t xml:space="preserve">Активний диференціальний тестер ліній ADP 1 </t>
  </si>
  <si>
    <t>Всього по розділу V:</t>
  </si>
  <si>
    <t>VІ. Модернізація та закупівля колісної техніки</t>
  </si>
  <si>
    <t>Всього по розділу VІ:</t>
  </si>
  <si>
    <t>VII. Інше</t>
  </si>
  <si>
    <t xml:space="preserve">Вимірювач параметрів каналів тональної частоти ТЧ-ПРО (або аналог)   </t>
  </si>
  <si>
    <t>Компресор Remeza (або аналог)</t>
  </si>
  <si>
    <t>Всього по розділу VІІ:</t>
  </si>
  <si>
    <t>Всього по програмі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</si>
  <si>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</si>
  <si>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</si>
  <si>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>"____" ____________ 20___ року</t>
  </si>
  <si>
    <t xml:space="preserve">  М. П.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</si>
</sst>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"/>
    <numFmt numFmtId="166" formatCode="0.00%"/>
    <numFmt numFmtId="167" formatCode="0"/>
    <numFmt numFmtId="168" formatCode="@"/>
    <numFmt numFmtId="169" formatCode="0.00"/>
    <numFmt numFmtId="170" formatCode="0.000"/>
    <numFmt numFmtId="171" formatCode="\ * #,##0.00&quot;    &quot;;\-* #,##0.00&quot;    &quot;;\ * \-#&quot;    &quot;;@\ "/>
    <numFmt numFmtId="172" formatCode="#,##0.000"/>
    <numFmt numFmtId="173" formatCode="#,##0"/>
    <numFmt numFmtId="174" formatCode="#,##0&quot;р.&quot;;[RED]\-#,##0&quot;р.&quot;"/>
    <numFmt numFmtId="175" formatCode="#,##0.0"/>
    <numFmt numFmtId="176" formatCode="0.0%"/>
    <numFmt numFmtId="177" formatCode="#,##0.00;\-#,##0.00"/>
  </numFmts>
  <fonts count="48">
    <font>
      <sz val="10"/>
      <name val="Arial"/>
      <family val="2"/>
    </font>
    <font>
      <sz val="10"/>
      <name val="PragmaticaC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8"/>
      <name val="Times New Roman Cyr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7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164" fontId="2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5" fillId="7" borderId="1" applyNumberFormat="0" applyAlignment="0" applyProtection="0"/>
    <xf numFmtId="164" fontId="6" fillId="20" borderId="2" applyNumberFormat="0" applyAlignment="0" applyProtection="0"/>
    <xf numFmtId="164" fontId="7" fillId="20" borderId="1" applyNumberFormat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21" borderId="7" applyNumberFormat="0" applyAlignment="0" applyProtection="0"/>
    <xf numFmtId="164" fontId="13" fillId="0" borderId="0" applyNumberFormat="0" applyFill="0" applyBorder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18" fillId="23" borderId="8" applyNumberFormat="0" applyAlignment="0" applyProtection="0"/>
    <xf numFmtId="164" fontId="19" fillId="0" borderId="9" applyNumberFormat="0" applyFill="0" applyAlignment="0" applyProtection="0"/>
    <xf numFmtId="164" fontId="20" fillId="0" borderId="0" applyNumberFormat="0" applyFill="0" applyBorder="0" applyAlignment="0" applyProtection="0"/>
    <xf numFmtId="164" fontId="21" fillId="4" borderId="0" applyNumberFormat="0" applyBorder="0" applyAlignment="0" applyProtection="0"/>
    <xf numFmtId="164" fontId="2" fillId="0" borderId="0">
      <alignment/>
      <protection/>
    </xf>
  </cellStyleXfs>
  <cellXfs count="331">
    <xf numFmtId="164" fontId="0" fillId="0" borderId="0" xfId="0" applyAlignment="1">
      <alignment/>
    </xf>
    <xf numFmtId="164" fontId="4" fillId="0" borderId="0" xfId="40" applyFont="1" applyFill="1" applyProtection="1">
      <alignment/>
      <protection/>
    </xf>
    <xf numFmtId="164" fontId="22" fillId="0" borderId="10" xfId="40" applyFont="1" applyFill="1" applyBorder="1" applyAlignment="1" applyProtection="1">
      <alignment horizontal="center" vertical="center" wrapText="1"/>
      <protection/>
    </xf>
    <xf numFmtId="164" fontId="23" fillId="0" borderId="10" xfId="40" applyFont="1" applyFill="1" applyBorder="1" applyAlignment="1" applyProtection="1">
      <alignment horizontal="center" vertical="center" wrapText="1"/>
      <protection/>
    </xf>
    <xf numFmtId="164" fontId="23" fillId="0" borderId="10" xfId="40" applyFont="1" applyFill="1" applyBorder="1" applyAlignment="1" applyProtection="1">
      <alignment horizontal="center" vertical="center"/>
      <protection/>
    </xf>
    <xf numFmtId="164" fontId="23" fillId="0" borderId="10" xfId="40" applyFont="1" applyFill="1" applyBorder="1" applyAlignment="1" applyProtection="1">
      <alignment horizontal="center" vertical="center" wrapText="1"/>
      <protection locked="0"/>
    </xf>
    <xf numFmtId="164" fontId="23" fillId="0" borderId="10" xfId="40" applyFont="1" applyFill="1" applyBorder="1" applyAlignment="1" applyProtection="1">
      <alignment horizontal="center" vertical="center"/>
      <protection locked="0"/>
    </xf>
    <xf numFmtId="164" fontId="23" fillId="0" borderId="10" xfId="40" applyNumberFormat="1" applyFont="1" applyFill="1" applyBorder="1" applyAlignment="1" applyProtection="1">
      <alignment horizontal="center" vertical="center" wrapText="1"/>
      <protection/>
    </xf>
    <xf numFmtId="165" fontId="23" fillId="0" borderId="10" xfId="40" applyNumberFormat="1" applyFont="1" applyFill="1" applyBorder="1" applyAlignment="1" applyProtection="1">
      <alignment horizontal="center" vertical="center" wrapText="1"/>
      <protection/>
    </xf>
    <xf numFmtId="166" fontId="23" fillId="0" borderId="10" xfId="40" applyNumberFormat="1" applyFont="1" applyFill="1" applyBorder="1" applyAlignment="1" applyProtection="1">
      <alignment horizontal="center" vertical="center" wrapText="1"/>
      <protection/>
    </xf>
    <xf numFmtId="165" fontId="23" fillId="0" borderId="10" xfId="40" applyNumberFormat="1" applyFont="1" applyFill="1" applyBorder="1" applyAlignment="1" applyProtection="1">
      <alignment horizontal="center" vertical="center" wrapText="1"/>
      <protection locked="0"/>
    </xf>
    <xf numFmtId="164" fontId="23" fillId="0" borderId="11" xfId="40" applyFont="1" applyFill="1" applyBorder="1" applyProtection="1">
      <alignment/>
      <protection/>
    </xf>
    <xf numFmtId="164" fontId="23" fillId="0" borderId="0" xfId="40" applyFont="1" applyFill="1" applyBorder="1" applyProtection="1">
      <alignment/>
      <protection/>
    </xf>
    <xf numFmtId="164" fontId="4" fillId="0" borderId="0" xfId="40" applyFont="1" applyFill="1" applyBorder="1" applyProtection="1">
      <alignment/>
      <protection/>
    </xf>
    <xf numFmtId="164" fontId="23" fillId="0" borderId="0" xfId="40" applyFont="1" applyFill="1" applyProtection="1">
      <alignment/>
      <protection/>
    </xf>
    <xf numFmtId="164" fontId="24" fillId="0" borderId="0" xfId="64" applyFont="1" applyFill="1" applyBorder="1" applyAlignment="1" applyProtection="1">
      <alignment horizontal="left"/>
      <protection hidden="1"/>
    </xf>
    <xf numFmtId="164" fontId="25" fillId="0" borderId="0" xfId="40" applyFont="1" applyFill="1">
      <alignment/>
      <protection/>
    </xf>
    <xf numFmtId="164" fontId="25" fillId="0" borderId="0" xfId="40" applyFont="1" applyFill="1" applyAlignment="1">
      <alignment horizontal="center"/>
      <protection/>
    </xf>
    <xf numFmtId="164" fontId="26" fillId="0" borderId="0" xfId="40" applyFont="1" applyFill="1" applyBorder="1" applyAlignment="1">
      <alignment horizontal="center" vertical="center"/>
      <protection/>
    </xf>
    <xf numFmtId="164" fontId="27" fillId="0" borderId="0" xfId="40" applyFont="1" applyFill="1">
      <alignment/>
      <protection/>
    </xf>
    <xf numFmtId="164" fontId="23" fillId="0" borderId="0" xfId="64" applyFont="1" applyFill="1" applyProtection="1">
      <alignment/>
      <protection hidden="1"/>
    </xf>
    <xf numFmtId="164" fontId="23" fillId="0" borderId="0" xfId="40" applyFont="1" applyFill="1">
      <alignment/>
      <protection/>
    </xf>
    <xf numFmtId="164" fontId="25" fillId="0" borderId="0" xfId="40" applyFont="1" applyFill="1" applyBorder="1" applyAlignment="1">
      <alignment horizontal="center" wrapText="1"/>
      <protection/>
    </xf>
    <xf numFmtId="164" fontId="28" fillId="0" borderId="0" xfId="40" applyFont="1" applyFill="1">
      <alignment/>
      <protection/>
    </xf>
    <xf numFmtId="164" fontId="25" fillId="0" borderId="0" xfId="64" applyFont="1" applyFill="1" applyProtection="1">
      <alignment/>
      <protection hidden="1"/>
    </xf>
    <xf numFmtId="164" fontId="25" fillId="0" borderId="0" xfId="64" applyFont="1" applyFill="1" applyBorder="1" applyAlignment="1" applyProtection="1">
      <alignment horizontal="left"/>
      <protection hidden="1"/>
    </xf>
    <xf numFmtId="164" fontId="25" fillId="0" borderId="0" xfId="64" applyFont="1" applyFill="1" applyAlignment="1" applyProtection="1">
      <alignment horizontal="center"/>
      <protection hidden="1"/>
    </xf>
    <xf numFmtId="164" fontId="25" fillId="0" borderId="0" xfId="64" applyFont="1" applyFill="1" applyAlignment="1" applyProtection="1">
      <alignment horizontal="left"/>
      <protection hidden="1"/>
    </xf>
    <xf numFmtId="164" fontId="23" fillId="0" borderId="0" xfId="40" applyFont="1" applyFill="1" applyAlignment="1" applyProtection="1">
      <alignment horizontal="center" vertical="center" wrapText="1"/>
      <protection/>
    </xf>
    <xf numFmtId="164" fontId="23" fillId="0" borderId="0" xfId="40" applyFont="1" applyFill="1" applyBorder="1" applyAlignment="1" applyProtection="1">
      <alignment horizontal="center" vertical="center" wrapText="1"/>
      <protection/>
    </xf>
    <xf numFmtId="167" fontId="23" fillId="0" borderId="10" xfId="40" applyNumberFormat="1" applyFont="1" applyFill="1" applyBorder="1" applyAlignment="1" applyProtection="1">
      <alignment horizontal="center" vertical="center" wrapText="1"/>
      <protection locked="0"/>
    </xf>
    <xf numFmtId="168" fontId="23" fillId="0" borderId="10" xfId="40" applyNumberFormat="1" applyFont="1" applyFill="1" applyBorder="1" applyAlignment="1" applyProtection="1">
      <alignment horizontal="center" vertical="center" wrapText="1"/>
      <protection/>
    </xf>
    <xf numFmtId="169" fontId="23" fillId="0" borderId="10" xfId="40" applyNumberFormat="1" applyFont="1" applyFill="1" applyBorder="1" applyAlignment="1" applyProtection="1">
      <alignment horizontal="center" vertical="center" wrapText="1"/>
      <protection locked="0"/>
    </xf>
    <xf numFmtId="168" fontId="23" fillId="0" borderId="10" xfId="40" applyNumberFormat="1" applyFont="1" applyFill="1" applyBorder="1" applyAlignment="1" applyProtection="1">
      <alignment horizontal="left" vertical="center" wrapText="1" indent="2"/>
      <protection/>
    </xf>
    <xf numFmtId="168" fontId="23" fillId="0" borderId="12" xfId="40" applyNumberFormat="1" applyFont="1" applyFill="1" applyBorder="1" applyAlignment="1" applyProtection="1">
      <alignment horizontal="center" vertical="center" wrapText="1"/>
      <protection/>
    </xf>
    <xf numFmtId="168" fontId="23" fillId="0" borderId="13" xfId="40" applyNumberFormat="1" applyFont="1" applyFill="1" applyBorder="1" applyAlignment="1" applyProtection="1">
      <alignment horizontal="center" vertical="center" wrapText="1"/>
      <protection/>
    </xf>
    <xf numFmtId="164" fontId="23" fillId="0" borderId="0" xfId="40" applyFont="1" applyFill="1" applyAlignment="1" applyProtection="1">
      <alignment horizontal="center"/>
      <protection/>
    </xf>
    <xf numFmtId="164" fontId="23" fillId="24" borderId="10" xfId="40" applyFont="1" applyFill="1" applyBorder="1" applyAlignment="1" applyProtection="1">
      <alignment horizontal="center" vertical="center" wrapText="1"/>
      <protection locked="0"/>
    </xf>
    <xf numFmtId="164" fontId="23" fillId="24" borderId="10" xfId="40" applyFont="1" applyFill="1" applyBorder="1" applyAlignment="1" applyProtection="1">
      <alignment horizontal="center" vertical="center" wrapText="1"/>
      <protection/>
    </xf>
    <xf numFmtId="164" fontId="23" fillId="0" borderId="10" xfId="40" applyFont="1" applyFill="1" applyBorder="1" applyAlignment="1" applyProtection="1">
      <alignment horizontal="center"/>
      <protection/>
    </xf>
    <xf numFmtId="168" fontId="23" fillId="0" borderId="10" xfId="40" applyNumberFormat="1" applyFont="1" applyFill="1" applyBorder="1" applyAlignment="1" applyProtection="1">
      <alignment horizontal="right" vertical="center" wrapText="1"/>
      <protection/>
    </xf>
    <xf numFmtId="164" fontId="24" fillId="0" borderId="10" xfId="40" applyFont="1" applyFill="1" applyBorder="1" applyAlignment="1" applyProtection="1">
      <alignment wrapText="1"/>
      <protection/>
    </xf>
    <xf numFmtId="170" fontId="24" fillId="0" borderId="10" xfId="40" applyNumberFormat="1" applyFont="1" applyFill="1" applyBorder="1" applyAlignment="1" applyProtection="1">
      <alignment horizontal="center" wrapText="1"/>
      <protection/>
    </xf>
    <xf numFmtId="170" fontId="24" fillId="24" borderId="10" xfId="40" applyNumberFormat="1" applyFont="1" applyFill="1" applyBorder="1" applyAlignment="1" applyProtection="1">
      <alignment horizontal="center" wrapText="1"/>
      <protection/>
    </xf>
    <xf numFmtId="165" fontId="23" fillId="0" borderId="10" xfId="40" applyNumberFormat="1" applyFont="1" applyFill="1" applyBorder="1" applyAlignment="1" applyProtection="1">
      <alignment horizontal="center" vertical="center"/>
      <protection/>
    </xf>
    <xf numFmtId="164" fontId="23" fillId="0" borderId="10" xfId="40" applyFont="1" applyFill="1" applyBorder="1" applyProtection="1">
      <alignment/>
      <protection/>
    </xf>
    <xf numFmtId="164" fontId="23" fillId="0" borderId="10" xfId="40" applyFont="1" applyFill="1" applyBorder="1" applyAlignment="1" applyProtection="1">
      <alignment wrapText="1"/>
      <protection/>
    </xf>
    <xf numFmtId="170" fontId="23" fillId="0" borderId="10" xfId="40" applyNumberFormat="1" applyFont="1" applyFill="1" applyBorder="1" applyAlignment="1" applyProtection="1">
      <alignment horizontal="center" wrapText="1"/>
      <protection/>
    </xf>
    <xf numFmtId="170" fontId="23" fillId="0" borderId="10" xfId="40" applyNumberFormat="1" applyFont="1" applyFill="1" applyBorder="1" applyAlignment="1" applyProtection="1">
      <alignment horizontal="center" vertical="center"/>
      <protection/>
    </xf>
    <xf numFmtId="170" fontId="23" fillId="24" borderId="10" xfId="40" applyNumberFormat="1" applyFont="1" applyFill="1" applyBorder="1" applyAlignment="1" applyProtection="1">
      <alignment horizontal="center" vertical="center"/>
      <protection/>
    </xf>
    <xf numFmtId="170" fontId="23" fillId="0" borderId="10" xfId="40" applyNumberFormat="1" applyFont="1" applyFill="1" applyBorder="1" applyAlignment="1" applyProtection="1">
      <alignment horizontal="center" vertical="center"/>
      <protection locked="0"/>
    </xf>
    <xf numFmtId="170" fontId="23" fillId="24" borderId="10" xfId="40" applyNumberFormat="1" applyFont="1" applyFill="1" applyBorder="1" applyAlignment="1" applyProtection="1">
      <alignment horizontal="center" vertical="center"/>
      <protection locked="0"/>
    </xf>
    <xf numFmtId="165" fontId="23" fillId="0" borderId="10" xfId="40" applyNumberFormat="1" applyFont="1" applyFill="1" applyBorder="1" applyAlignment="1" applyProtection="1">
      <alignment horizontal="center" vertical="center"/>
      <protection locked="0"/>
    </xf>
    <xf numFmtId="170" fontId="29" fillId="0" borderId="10" xfId="68" applyNumberFormat="1" applyFont="1" applyFill="1" applyBorder="1" applyAlignment="1" applyProtection="1">
      <alignment horizontal="center" vertical="center" wrapText="1"/>
      <protection locked="0"/>
    </xf>
    <xf numFmtId="170" fontId="23" fillId="24" borderId="10" xfId="40" applyNumberFormat="1" applyFont="1" applyFill="1" applyBorder="1" applyAlignment="1" applyProtection="1">
      <alignment horizontal="center" wrapText="1"/>
      <protection/>
    </xf>
    <xf numFmtId="168" fontId="23" fillId="0" borderId="10" xfId="68" applyNumberFormat="1" applyFont="1" applyFill="1" applyBorder="1" applyAlignment="1" applyProtection="1">
      <alignment horizontal="center" vertical="center" wrapText="1"/>
      <protection/>
    </xf>
    <xf numFmtId="164" fontId="30" fillId="0" borderId="10" xfId="68" applyFont="1" applyFill="1" applyBorder="1" applyAlignment="1" applyProtection="1">
      <alignment horizontal="left" vertical="center" wrapText="1"/>
      <protection/>
    </xf>
    <xf numFmtId="170" fontId="29" fillId="0" borderId="10" xfId="68" applyNumberFormat="1" applyFont="1" applyFill="1" applyBorder="1" applyAlignment="1" applyProtection="1">
      <alignment horizontal="center" vertical="center" wrapText="1"/>
      <protection/>
    </xf>
    <xf numFmtId="170" fontId="29" fillId="24" borderId="10" xfId="68" applyNumberFormat="1" applyFont="1" applyFill="1" applyBorder="1" applyAlignment="1" applyProtection="1">
      <alignment horizontal="center" vertical="center" wrapText="1"/>
      <protection locked="0"/>
    </xf>
    <xf numFmtId="164" fontId="30" fillId="0" borderId="10" xfId="68" applyFont="1" applyFill="1" applyBorder="1" applyAlignment="1" applyProtection="1">
      <alignment horizontal="center" vertical="center" wrapText="1"/>
      <protection/>
    </xf>
    <xf numFmtId="164" fontId="29" fillId="0" borderId="10" xfId="68" applyFont="1" applyFill="1" applyBorder="1" applyAlignment="1" applyProtection="1">
      <alignment horizontal="center" vertical="center" wrapText="1"/>
      <protection locked="0"/>
    </xf>
    <xf numFmtId="170" fontId="24" fillId="0" borderId="10" xfId="40" applyNumberFormat="1" applyFont="1" applyFill="1" applyBorder="1" applyAlignment="1" applyProtection="1">
      <alignment horizontal="center" vertical="center"/>
      <protection/>
    </xf>
    <xf numFmtId="170" fontId="24" fillId="24" borderId="10" xfId="40" applyNumberFormat="1" applyFont="1" applyFill="1" applyBorder="1" applyAlignment="1" applyProtection="1">
      <alignment horizontal="center" vertical="center"/>
      <protection/>
    </xf>
    <xf numFmtId="170" fontId="23" fillId="0" borderId="10" xfId="40" applyNumberFormat="1" applyFont="1" applyFill="1" applyBorder="1" applyAlignment="1" applyProtection="1">
      <alignment horizontal="center"/>
      <protection/>
    </xf>
    <xf numFmtId="168" fontId="30" fillId="0" borderId="10" xfId="15" applyNumberFormat="1" applyFont="1" applyFill="1" applyBorder="1" applyAlignment="1" applyProtection="1">
      <alignment horizontal="center" vertical="center" wrapText="1"/>
      <protection/>
    </xf>
    <xf numFmtId="168" fontId="29" fillId="0" borderId="10" xfId="68" applyNumberFormat="1" applyFont="1" applyFill="1" applyBorder="1" applyAlignment="1" applyProtection="1">
      <alignment horizontal="center" vertical="center" wrapText="1"/>
      <protection/>
    </xf>
    <xf numFmtId="164" fontId="31" fillId="0" borderId="10" xfId="67" applyFont="1" applyFill="1" applyBorder="1" applyAlignment="1">
      <alignment wrapText="1"/>
      <protection/>
    </xf>
    <xf numFmtId="164" fontId="29" fillId="0" borderId="10" xfId="68" applyFont="1" applyFill="1" applyBorder="1" applyAlignment="1" applyProtection="1">
      <alignment horizontal="center" vertical="center" wrapText="1"/>
      <protection/>
    </xf>
    <xf numFmtId="164" fontId="29" fillId="0" borderId="10" xfId="0" applyFont="1" applyFill="1" applyBorder="1" applyAlignment="1" applyProtection="1">
      <alignment horizontal="center"/>
      <protection/>
    </xf>
    <xf numFmtId="164" fontId="30" fillId="0" borderId="10" xfId="0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4" fontId="23" fillId="0" borderId="10" xfId="67" applyFont="1" applyFill="1" applyBorder="1" applyAlignment="1">
      <alignment wrapText="1"/>
      <protection/>
    </xf>
    <xf numFmtId="172" fontId="29" fillId="24" borderId="10" xfId="0" applyNumberFormat="1" applyFont="1" applyFill="1" applyBorder="1" applyAlignment="1">
      <alignment horizontal="center" vertical="center" wrapText="1"/>
    </xf>
    <xf numFmtId="164" fontId="29" fillId="24" borderId="14" xfId="65" applyFont="1" applyFill="1" applyBorder="1" applyAlignment="1">
      <alignment horizontal="left" vertical="center" wrapText="1"/>
      <protection/>
    </xf>
    <xf numFmtId="170" fontId="32" fillId="24" borderId="14" xfId="65" applyNumberFormat="1" applyFont="1" applyFill="1" applyBorder="1" applyAlignment="1">
      <alignment horizontal="center" vertical="center" wrapText="1"/>
      <protection/>
    </xf>
    <xf numFmtId="170" fontId="32" fillId="24" borderId="14" xfId="65" applyNumberFormat="1" applyFont="1" applyFill="1" applyBorder="1" applyAlignment="1">
      <alignment horizontal="center" vertical="center"/>
      <protection/>
    </xf>
    <xf numFmtId="170" fontId="33" fillId="24" borderId="14" xfId="65" applyNumberFormat="1" applyFont="1" applyFill="1" applyBorder="1" applyAlignment="1">
      <alignment horizontal="center" vertical="center"/>
      <protection/>
    </xf>
    <xf numFmtId="164" fontId="29" fillId="0" borderId="10" xfId="68" applyFont="1" applyFill="1" applyBorder="1" applyAlignment="1" applyProtection="1">
      <alignment horizontal="center" vertical="center" wrapText="1"/>
      <protection/>
    </xf>
    <xf numFmtId="164" fontId="23" fillId="0" borderId="10" xfId="40" applyFont="1" applyFill="1" applyBorder="1" applyAlignment="1" applyProtection="1">
      <alignment horizontal="right" vertical="center" wrapText="1"/>
      <protection/>
    </xf>
    <xf numFmtId="164" fontId="24" fillId="0" borderId="10" xfId="40" applyFont="1" applyFill="1" applyBorder="1" applyAlignment="1" applyProtection="1">
      <alignment wrapText="1"/>
      <protection/>
    </xf>
    <xf numFmtId="170" fontId="24" fillId="0" borderId="10" xfId="40" applyNumberFormat="1" applyFont="1" applyFill="1" applyBorder="1" applyAlignment="1" applyProtection="1">
      <alignment horizontal="center" vertical="center" wrapText="1"/>
      <protection/>
    </xf>
    <xf numFmtId="165" fontId="23" fillId="0" borderId="10" xfId="40" applyNumberFormat="1" applyFont="1" applyFill="1" applyBorder="1" applyAlignment="1" applyProtection="1">
      <alignment horizontal="center" vertical="center"/>
      <protection/>
    </xf>
    <xf numFmtId="168" fontId="23" fillId="0" borderId="10" xfId="40" applyNumberFormat="1" applyFont="1" applyFill="1" applyBorder="1" applyAlignment="1" applyProtection="1">
      <alignment horizontal="right" vertical="center" wrapText="1"/>
      <protection/>
    </xf>
    <xf numFmtId="164" fontId="23" fillId="0" borderId="10" xfId="40" applyFont="1" applyFill="1" applyBorder="1" applyAlignment="1" applyProtection="1">
      <alignment wrapText="1"/>
      <protection/>
    </xf>
    <xf numFmtId="170" fontId="23" fillId="0" borderId="10" xfId="40" applyNumberFormat="1" applyFont="1" applyFill="1" applyBorder="1" applyAlignment="1" applyProtection="1">
      <alignment horizontal="center" vertical="center" wrapText="1"/>
      <protection/>
    </xf>
    <xf numFmtId="165" fontId="23" fillId="0" borderId="10" xfId="40" applyNumberFormat="1" applyFont="1" applyFill="1" applyBorder="1" applyAlignment="1" applyProtection="1">
      <alignment horizontal="center" vertical="center"/>
      <protection locked="0"/>
    </xf>
    <xf numFmtId="164" fontId="23" fillId="0" borderId="10" xfId="40" applyFont="1" applyFill="1" applyBorder="1" applyProtection="1">
      <alignment/>
      <protection/>
    </xf>
    <xf numFmtId="168" fontId="29" fillId="0" borderId="10" xfId="0" applyNumberFormat="1" applyFont="1" applyFill="1" applyBorder="1" applyAlignment="1">
      <alignment horizontal="center"/>
    </xf>
    <xf numFmtId="164" fontId="23" fillId="0" borderId="10" xfId="0" applyFont="1" applyFill="1" applyBorder="1" applyAlignment="1">
      <alignment horizontal="left" vertical="center" wrapText="1"/>
    </xf>
    <xf numFmtId="172" fontId="29" fillId="24" borderId="10" xfId="68" applyNumberFormat="1" applyFont="1" applyFill="1" applyBorder="1" applyAlignment="1">
      <alignment horizontal="center" vertical="center"/>
      <protection/>
    </xf>
    <xf numFmtId="164" fontId="29" fillId="24" borderId="10" xfId="68" applyFont="1" applyFill="1" applyBorder="1" applyAlignment="1" applyProtection="1">
      <alignment horizontal="center" vertical="center" wrapText="1"/>
      <protection/>
    </xf>
    <xf numFmtId="168" fontId="29" fillId="0" borderId="10" xfId="77" applyNumberFormat="1" applyFont="1" applyFill="1" applyBorder="1" applyAlignment="1" applyProtection="1">
      <alignment horizontal="center" vertical="center" wrapText="1"/>
      <protection/>
    </xf>
    <xf numFmtId="164" fontId="31" fillId="0" borderId="10" xfId="77" applyFont="1" applyFill="1" applyBorder="1">
      <alignment/>
      <protection/>
    </xf>
    <xf numFmtId="170" fontId="31" fillId="0" borderId="10" xfId="77" applyNumberFormat="1" applyFont="1" applyFill="1" applyBorder="1" applyAlignment="1" applyProtection="1">
      <alignment horizontal="center" vertical="center"/>
      <protection/>
    </xf>
    <xf numFmtId="170" fontId="31" fillId="0" borderId="10" xfId="77" applyNumberFormat="1" applyFont="1" applyFill="1" applyBorder="1" applyAlignment="1" applyProtection="1">
      <alignment horizontal="center" vertical="center"/>
      <protection locked="0"/>
    </xf>
    <xf numFmtId="170" fontId="31" fillId="24" borderId="10" xfId="77" applyNumberFormat="1" applyFont="1" applyFill="1" applyBorder="1" applyAlignment="1" applyProtection="1">
      <alignment horizontal="center" vertical="center"/>
      <protection/>
    </xf>
    <xf numFmtId="164" fontId="29" fillId="0" borderId="10" xfId="77" applyFont="1" applyFill="1" applyBorder="1" applyAlignment="1">
      <alignment wrapText="1"/>
      <protection/>
    </xf>
    <xf numFmtId="170" fontId="29" fillId="0" borderId="10" xfId="77" applyNumberFormat="1" applyFont="1" applyFill="1" applyBorder="1" applyAlignment="1" applyProtection="1">
      <alignment horizontal="center" vertical="center" wrapText="1"/>
      <protection locked="0"/>
    </xf>
    <xf numFmtId="164" fontId="24" fillId="0" borderId="10" xfId="40" applyFont="1" applyFill="1" applyBorder="1" applyAlignment="1" applyProtection="1">
      <alignment horizontal="left" vertical="center" wrapText="1"/>
      <protection/>
    </xf>
    <xf numFmtId="173" fontId="23" fillId="0" borderId="10" xfId="40" applyNumberFormat="1" applyFont="1" applyFill="1" applyBorder="1" applyAlignment="1" applyProtection="1">
      <alignment horizontal="center" vertical="center"/>
      <protection/>
    </xf>
    <xf numFmtId="164" fontId="29" fillId="0" borderId="10" xfId="0" applyFont="1" applyFill="1" applyBorder="1" applyAlignment="1">
      <alignment horizontal="left" vertical="center" wrapText="1"/>
    </xf>
    <xf numFmtId="170" fontId="0" fillId="0" borderId="14" xfId="0" applyNumberFormat="1" applyBorder="1" applyAlignment="1">
      <alignment/>
    </xf>
    <xf numFmtId="170" fontId="29" fillId="0" borderId="10" xfId="65" applyNumberFormat="1" applyFont="1" applyFill="1" applyBorder="1" applyAlignment="1">
      <alignment horizontal="center" vertical="center"/>
      <protection/>
    </xf>
    <xf numFmtId="170" fontId="29" fillId="24" borderId="10" xfId="65" applyNumberFormat="1" applyFont="1" applyFill="1" applyBorder="1" applyAlignment="1">
      <alignment horizontal="center" vertical="center"/>
      <protection/>
    </xf>
    <xf numFmtId="168" fontId="29" fillId="0" borderId="10" xfId="68" applyNumberFormat="1" applyFont="1" applyFill="1" applyBorder="1" applyAlignment="1" applyProtection="1">
      <alignment horizontal="center" vertical="center" wrapText="1"/>
      <protection/>
    </xf>
    <xf numFmtId="164" fontId="23" fillId="0" borderId="10" xfId="65" applyFont="1" applyFill="1" applyBorder="1" applyAlignment="1">
      <alignment horizontal="left" vertical="center" wrapText="1"/>
      <protection/>
    </xf>
    <xf numFmtId="172" fontId="29" fillId="0" borderId="10" xfId="65" applyNumberFormat="1" applyFont="1" applyFill="1" applyBorder="1" applyAlignment="1">
      <alignment horizontal="center" vertical="center" wrapText="1"/>
      <protection/>
    </xf>
    <xf numFmtId="170" fontId="29" fillId="24" borderId="10" xfId="65" applyNumberFormat="1" applyFont="1" applyFill="1" applyBorder="1" applyAlignment="1">
      <alignment horizontal="center" vertical="center" wrapText="1"/>
      <protection/>
    </xf>
    <xf numFmtId="164" fontId="29" fillId="0" borderId="10" xfId="0" applyFont="1" applyFill="1" applyBorder="1" applyAlignment="1" applyProtection="1">
      <alignment horizontal="center"/>
      <protection/>
    </xf>
    <xf numFmtId="168" fontId="29" fillId="0" borderId="10" xfId="0" applyNumberFormat="1" applyFont="1" applyFill="1" applyBorder="1" applyAlignment="1">
      <alignment horizontal="center" vertical="center" wrapText="1"/>
    </xf>
    <xf numFmtId="164" fontId="29" fillId="0" borderId="14" xfId="20" applyFont="1" applyFill="1" applyBorder="1" applyAlignment="1" applyProtection="1">
      <alignment horizontal="left" vertical="center" wrapText="1"/>
      <protection/>
    </xf>
    <xf numFmtId="164" fontId="29" fillId="0" borderId="10" xfId="20" applyFont="1" applyFill="1" applyBorder="1" applyAlignment="1" applyProtection="1">
      <alignment horizontal="left" vertical="center" wrapText="1"/>
      <protection/>
    </xf>
    <xf numFmtId="167" fontId="29" fillId="0" borderId="10" xfId="65" applyNumberFormat="1" applyFont="1" applyFill="1" applyBorder="1" applyAlignment="1">
      <alignment horizontal="left" vertical="center" wrapText="1"/>
      <protection/>
    </xf>
    <xf numFmtId="165" fontId="29" fillId="24" borderId="10" xfId="65" applyNumberFormat="1" applyFont="1" applyFill="1" applyBorder="1" applyAlignment="1">
      <alignment horizontal="center" vertical="center"/>
      <protection/>
    </xf>
    <xf numFmtId="164" fontId="0" fillId="0" borderId="14" xfId="0" applyBorder="1" applyAlignment="1">
      <alignment/>
    </xf>
    <xf numFmtId="170" fontId="23" fillId="0" borderId="10" xfId="68" applyNumberFormat="1" applyFont="1" applyFill="1" applyBorder="1" applyAlignment="1" applyProtection="1">
      <alignment horizontal="center" vertical="center" wrapText="1"/>
      <protection/>
    </xf>
    <xf numFmtId="170" fontId="23" fillId="0" borderId="10" xfId="65" applyNumberFormat="1" applyFont="1" applyFill="1" applyBorder="1" applyAlignment="1">
      <alignment horizontal="center" vertical="center"/>
      <protection/>
    </xf>
    <xf numFmtId="170" fontId="23" fillId="24" borderId="10" xfId="65" applyNumberFormat="1" applyFont="1" applyFill="1" applyBorder="1" applyAlignment="1">
      <alignment horizontal="center" vertical="center" wrapText="1"/>
      <protection/>
    </xf>
    <xf numFmtId="164" fontId="23" fillId="0" borderId="10" xfId="68" applyFont="1" applyFill="1" applyBorder="1" applyAlignment="1" applyProtection="1">
      <alignment horizontal="center" vertical="center" wrapText="1"/>
      <protection/>
    </xf>
    <xf numFmtId="164" fontId="23" fillId="0" borderId="10" xfId="0" applyFont="1" applyFill="1" applyBorder="1" applyAlignment="1" applyProtection="1">
      <alignment horizontal="center"/>
      <protection/>
    </xf>
    <xf numFmtId="170" fontId="29" fillId="0" borderId="10" xfId="68" applyNumberFormat="1" applyFont="1" applyFill="1" applyBorder="1" applyAlignment="1" applyProtection="1">
      <alignment horizontal="center" vertical="center" wrapText="1"/>
      <protection/>
    </xf>
    <xf numFmtId="168" fontId="30" fillId="0" borderId="10" xfId="68" applyNumberFormat="1" applyFont="1" applyFill="1" applyBorder="1" applyAlignment="1" applyProtection="1">
      <alignment horizontal="center" vertical="center" wrapText="1"/>
      <protection/>
    </xf>
    <xf numFmtId="164" fontId="24" fillId="0" borderId="10" xfId="67" applyFont="1" applyFill="1" applyBorder="1" applyAlignment="1">
      <alignment wrapText="1"/>
      <protection/>
    </xf>
    <xf numFmtId="170" fontId="30" fillId="0" borderId="10" xfId="67" applyNumberFormat="1" applyFont="1" applyFill="1" applyBorder="1" applyAlignment="1">
      <alignment horizontal="center" vertical="center"/>
      <protection/>
    </xf>
    <xf numFmtId="170" fontId="30" fillId="0" borderId="10" xfId="68" applyNumberFormat="1" applyFont="1" applyFill="1" applyBorder="1" applyAlignment="1">
      <alignment horizontal="center" vertical="center"/>
      <protection/>
    </xf>
    <xf numFmtId="170" fontId="30" fillId="24" borderId="10" xfId="68" applyNumberFormat="1" applyFont="1" applyFill="1" applyBorder="1" applyAlignment="1">
      <alignment horizontal="center" vertical="center"/>
      <protection/>
    </xf>
    <xf numFmtId="164" fontId="34" fillId="0" borderId="10" xfId="0" applyFont="1" applyFill="1" applyBorder="1" applyAlignment="1" applyProtection="1">
      <alignment horizontal="center"/>
      <protection/>
    </xf>
    <xf numFmtId="164" fontId="23" fillId="0" borderId="10" xfId="67" applyFont="1" applyFill="1" applyBorder="1" applyAlignment="1">
      <alignment wrapText="1"/>
      <protection/>
    </xf>
    <xf numFmtId="170" fontId="29" fillId="0" borderId="10" xfId="68" applyNumberFormat="1" applyFont="1" applyFill="1" applyBorder="1" applyAlignment="1">
      <alignment horizontal="center"/>
      <protection/>
    </xf>
    <xf numFmtId="170" fontId="29" fillId="24" borderId="10" xfId="68" applyNumberFormat="1" applyFont="1" applyFill="1" applyBorder="1" applyAlignment="1">
      <alignment horizontal="center"/>
      <protection/>
    </xf>
    <xf numFmtId="170" fontId="31" fillId="0" borderId="10" xfId="68" applyNumberFormat="1" applyFont="1" applyFill="1" applyBorder="1" applyAlignment="1">
      <alignment horizontal="center"/>
      <protection/>
    </xf>
    <xf numFmtId="170" fontId="31" fillId="24" borderId="10" xfId="68" applyNumberFormat="1" applyFont="1" applyFill="1" applyBorder="1" applyAlignment="1">
      <alignment horizontal="center"/>
      <protection/>
    </xf>
    <xf numFmtId="164" fontId="29" fillId="0" borderId="10" xfId="65" applyFont="1" applyFill="1" applyBorder="1" applyAlignment="1">
      <alignment horizontal="left" vertical="center" wrapText="1"/>
      <protection/>
    </xf>
    <xf numFmtId="172" fontId="29" fillId="0" borderId="10" xfId="0" applyNumberFormat="1" applyFont="1" applyFill="1" applyBorder="1" applyAlignment="1" applyProtection="1">
      <alignment horizontal="center" vertical="center" wrapText="1"/>
      <protection/>
    </xf>
    <xf numFmtId="172" fontId="29" fillId="0" borderId="10" xfId="65" applyNumberFormat="1" applyFont="1" applyFill="1" applyBorder="1" applyAlignment="1">
      <alignment horizontal="center" vertical="center"/>
      <protection/>
    </xf>
    <xf numFmtId="172" fontId="29" fillId="24" borderId="10" xfId="0" applyNumberFormat="1" applyFont="1" applyFill="1" applyBorder="1" applyAlignment="1" applyProtection="1">
      <alignment horizontal="center" vertical="center" wrapText="1"/>
      <protection/>
    </xf>
    <xf numFmtId="168" fontId="24" fillId="0" borderId="10" xfId="40" applyNumberFormat="1" applyFont="1" applyFill="1" applyBorder="1" applyAlignment="1" applyProtection="1">
      <alignment horizontal="center" vertical="center" wrapText="1"/>
      <protection/>
    </xf>
    <xf numFmtId="165" fontId="23" fillId="24" borderId="10" xfId="40" applyNumberFormat="1" applyFont="1" applyFill="1" applyBorder="1" applyAlignment="1" applyProtection="1">
      <alignment horizontal="center" vertical="center"/>
      <protection locked="0"/>
    </xf>
    <xf numFmtId="164" fontId="23" fillId="0" borderId="10" xfId="69" applyFont="1" applyFill="1" applyBorder="1" applyAlignment="1">
      <alignment horizontal="center"/>
      <protection/>
    </xf>
    <xf numFmtId="164" fontId="23" fillId="24" borderId="0" xfId="40" applyFont="1" applyFill="1" applyProtection="1">
      <alignment/>
      <protection/>
    </xf>
    <xf numFmtId="164" fontId="23" fillId="0" borderId="0" xfId="40" applyFont="1" applyFill="1" applyBorder="1" applyAlignment="1" applyProtection="1">
      <alignment horizontal="left"/>
      <protection/>
    </xf>
    <xf numFmtId="164" fontId="23" fillId="0" borderId="0" xfId="40" applyFont="1" applyFill="1" applyBorder="1" applyAlignment="1" applyProtection="1">
      <alignment vertical="top"/>
      <protection/>
    </xf>
    <xf numFmtId="164" fontId="23" fillId="0" borderId="10" xfId="40" applyFont="1" applyFill="1" applyBorder="1" applyAlignment="1" applyProtection="1">
      <alignment horizontal="left" vertical="center" wrapText="1" indent="6"/>
      <protection/>
    </xf>
    <xf numFmtId="165" fontId="23" fillId="0" borderId="14" xfId="40" applyNumberFormat="1" applyFont="1" applyFill="1" applyBorder="1" applyAlignment="1" applyProtection="1">
      <alignment horizontal="center" vertical="center" wrapText="1"/>
      <protection/>
    </xf>
    <xf numFmtId="166" fontId="23" fillId="0" borderId="14" xfId="40" applyNumberFormat="1" applyFont="1" applyFill="1" applyBorder="1" applyAlignment="1" applyProtection="1">
      <alignment horizontal="center" vertical="center" wrapText="1"/>
      <protection/>
    </xf>
    <xf numFmtId="165" fontId="23" fillId="0" borderId="14" xfId="40" applyNumberFormat="1" applyFont="1" applyFill="1" applyBorder="1" applyAlignment="1" applyProtection="1">
      <alignment horizontal="center" vertical="center" wrapText="1"/>
      <protection locked="0"/>
    </xf>
    <xf numFmtId="168" fontId="23" fillId="0" borderId="0" xfId="40" applyNumberFormat="1" applyFont="1" applyFill="1">
      <alignment/>
      <protection/>
    </xf>
    <xf numFmtId="164" fontId="23" fillId="0" borderId="0" xfId="40" applyFont="1" applyFill="1" applyAlignment="1">
      <alignment wrapText="1"/>
      <protection/>
    </xf>
    <xf numFmtId="164" fontId="23" fillId="0" borderId="0" xfId="40" applyFont="1" applyFill="1" applyAlignment="1">
      <alignment horizontal="center"/>
      <protection/>
    </xf>
    <xf numFmtId="164" fontId="22" fillId="0" borderId="10" xfId="40" applyFont="1" applyFill="1" applyBorder="1" applyAlignment="1">
      <alignment horizontal="center" vertical="center"/>
      <protection/>
    </xf>
    <xf numFmtId="168" fontId="23" fillId="0" borderId="10" xfId="40" applyNumberFormat="1" applyFont="1" applyFill="1" applyBorder="1" applyAlignment="1">
      <alignment horizontal="center" vertical="center" wrapText="1"/>
      <protection/>
    </xf>
    <xf numFmtId="164" fontId="23" fillId="0" borderId="10" xfId="40" applyFont="1" applyFill="1" applyBorder="1" applyAlignment="1">
      <alignment horizontal="center" vertical="center" wrapText="1"/>
      <protection/>
    </xf>
    <xf numFmtId="168" fontId="23" fillId="0" borderId="10" xfId="40" applyNumberFormat="1" applyFont="1" applyFill="1" applyBorder="1" applyAlignment="1">
      <alignment horizontal="center" vertical="center"/>
      <protection/>
    </xf>
    <xf numFmtId="164" fontId="23" fillId="0" borderId="10" xfId="40" applyFont="1" applyFill="1" applyBorder="1" applyAlignment="1">
      <alignment horizontal="center" vertical="center"/>
      <protection/>
    </xf>
    <xf numFmtId="168" fontId="23" fillId="0" borderId="10" xfId="0" applyNumberFormat="1" applyFont="1" applyFill="1" applyBorder="1" applyAlignment="1">
      <alignment/>
    </xf>
    <xf numFmtId="164" fontId="29" fillId="0" borderId="14" xfId="0" applyFont="1" applyFill="1" applyBorder="1" applyAlignment="1">
      <alignment horizontal="center" wrapText="1"/>
    </xf>
    <xf numFmtId="164" fontId="23" fillId="0" borderId="14" xfId="0" applyFont="1" applyFill="1" applyBorder="1" applyAlignment="1">
      <alignment horizontal="center" vertical="center"/>
    </xf>
    <xf numFmtId="165" fontId="23" fillId="0" borderId="14" xfId="0" applyNumberFormat="1" applyFont="1" applyFill="1" applyBorder="1" applyAlignment="1">
      <alignment/>
    </xf>
    <xf numFmtId="165" fontId="23" fillId="0" borderId="10" xfId="0" applyNumberFormat="1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5" fontId="25" fillId="0" borderId="10" xfId="0" applyNumberFormat="1" applyFont="1" applyFill="1" applyBorder="1" applyAlignment="1">
      <alignment/>
    </xf>
    <xf numFmtId="164" fontId="23" fillId="0" borderId="10" xfId="0" applyFont="1" applyFill="1" applyBorder="1" applyAlignment="1">
      <alignment horizontal="center" wrapText="1"/>
    </xf>
    <xf numFmtId="164" fontId="23" fillId="0" borderId="10" xfId="0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/>
    </xf>
    <xf numFmtId="165" fontId="23" fillId="0" borderId="14" xfId="0" applyNumberFormat="1" applyFont="1" applyFill="1" applyBorder="1" applyAlignment="1">
      <alignment horizontal="center"/>
    </xf>
    <xf numFmtId="164" fontId="23" fillId="0" borderId="14" xfId="0" applyFont="1" applyFill="1" applyBorder="1" applyAlignment="1">
      <alignment horizontal="center" wrapText="1"/>
    </xf>
    <xf numFmtId="164" fontId="35" fillId="0" borderId="10" xfId="0" applyFont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/>
    </xf>
    <xf numFmtId="165" fontId="36" fillId="0" borderId="10" xfId="0" applyNumberFormat="1" applyFont="1" applyFill="1" applyBorder="1" applyAlignment="1">
      <alignment/>
    </xf>
    <xf numFmtId="165" fontId="25" fillId="0" borderId="10" xfId="0" applyNumberFormat="1" applyFont="1" applyBorder="1" applyAlignment="1">
      <alignment horizontal="center"/>
    </xf>
    <xf numFmtId="168" fontId="23" fillId="0" borderId="0" xfId="0" applyNumberFormat="1" applyFont="1" applyBorder="1" applyAlignment="1">
      <alignment/>
    </xf>
    <xf numFmtId="164" fontId="23" fillId="0" borderId="0" xfId="0" applyFont="1" applyBorder="1" applyAlignment="1">
      <alignment horizontal="center" wrapText="1"/>
    </xf>
    <xf numFmtId="164" fontId="23" fillId="0" borderId="12" xfId="0" applyFont="1" applyBorder="1" applyAlignment="1">
      <alignment horizontal="right" vertical="center"/>
    </xf>
    <xf numFmtId="164" fontId="23" fillId="0" borderId="14" xfId="0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4" fontId="25" fillId="0" borderId="10" xfId="0" applyFont="1" applyBorder="1" applyAlignment="1">
      <alignment/>
    </xf>
    <xf numFmtId="164" fontId="23" fillId="0" borderId="0" xfId="0" applyFont="1" applyBorder="1" applyAlignment="1">
      <alignment horizontal="center" vertical="center"/>
    </xf>
    <xf numFmtId="164" fontId="24" fillId="0" borderId="0" xfId="64" applyFont="1" applyFill="1" applyBorder="1" applyAlignment="1" applyProtection="1">
      <alignment horizontal="left" wrapText="1"/>
      <protection hidden="1"/>
    </xf>
    <xf numFmtId="164" fontId="26" fillId="0" borderId="0" xfId="40" applyFont="1" applyFill="1" applyAlignment="1">
      <alignment horizontal="center"/>
      <protection/>
    </xf>
    <xf numFmtId="164" fontId="23" fillId="0" borderId="0" xfId="64" applyFont="1" applyFill="1" applyAlignment="1" applyProtection="1">
      <alignment wrapText="1"/>
      <protection hidden="1"/>
    </xf>
    <xf numFmtId="164" fontId="25" fillId="0" borderId="0" xfId="40" applyFont="1" applyFill="1" applyBorder="1" applyAlignment="1">
      <alignment horizontal="left" wrapText="1"/>
      <protection/>
    </xf>
    <xf numFmtId="164" fontId="25" fillId="0" borderId="0" xfId="64" applyFont="1" applyFill="1" applyAlignment="1" applyProtection="1">
      <alignment wrapText="1"/>
      <protection hidden="1"/>
    </xf>
    <xf numFmtId="168" fontId="23" fillId="0" borderId="10" xfId="40" applyNumberFormat="1" applyFont="1" applyFill="1" applyBorder="1" applyAlignment="1" applyProtection="1">
      <alignment horizontal="center"/>
      <protection/>
    </xf>
    <xf numFmtId="164" fontId="23" fillId="0" borderId="10" xfId="40" applyFont="1" applyFill="1" applyBorder="1" applyAlignment="1">
      <alignment horizontal="center" wrapText="1"/>
      <protection/>
    </xf>
    <xf numFmtId="164" fontId="24" fillId="0" borderId="10" xfId="40" applyFont="1" applyFill="1" applyBorder="1" applyAlignment="1">
      <alignment wrapText="1"/>
      <protection/>
    </xf>
    <xf numFmtId="164" fontId="23" fillId="0" borderId="10" xfId="40" applyFont="1" applyFill="1" applyBorder="1">
      <alignment/>
      <protection/>
    </xf>
    <xf numFmtId="168" fontId="23" fillId="0" borderId="10" xfId="0" applyNumberFormat="1" applyFont="1" applyFill="1" applyBorder="1" applyAlignment="1">
      <alignment horizontal="left"/>
    </xf>
    <xf numFmtId="164" fontId="23" fillId="0" borderId="10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/>
    </xf>
    <xf numFmtId="165" fontId="23" fillId="0" borderId="10" xfId="0" applyNumberFormat="1" applyFont="1" applyFill="1" applyBorder="1" applyAlignment="1">
      <alignment horizontal="center" wrapText="1"/>
    </xf>
    <xf numFmtId="164" fontId="23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horizontal="center" wrapText="1"/>
    </xf>
    <xf numFmtId="164" fontId="29" fillId="0" borderId="14" xfId="0" applyFont="1" applyBorder="1" applyAlignment="1">
      <alignment horizontal="center" wrapText="1"/>
    </xf>
    <xf numFmtId="164" fontId="23" fillId="0" borderId="10" xfId="40" applyFont="1" applyFill="1" applyBorder="1" applyAlignment="1">
      <alignment horizontal="left" vertical="center"/>
      <protection/>
    </xf>
    <xf numFmtId="164" fontId="24" fillId="0" borderId="10" xfId="40" applyFont="1" applyFill="1" applyBorder="1" applyAlignment="1">
      <alignment horizontal="center" wrapText="1"/>
      <protection/>
    </xf>
    <xf numFmtId="164" fontId="23" fillId="0" borderId="14" xfId="40" applyFont="1" applyFill="1" applyBorder="1">
      <alignment/>
      <protection/>
    </xf>
    <xf numFmtId="164" fontId="29" fillId="0" borderId="10" xfId="0" applyFont="1" applyFill="1" applyBorder="1" applyAlignment="1">
      <alignment horizontal="left" wrapText="1"/>
    </xf>
    <xf numFmtId="165" fontId="23" fillId="0" borderId="1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/>
    </xf>
    <xf numFmtId="164" fontId="23" fillId="0" borderId="10" xfId="40" applyFont="1" applyFill="1" applyBorder="1" applyAlignment="1">
      <alignment horizontal="left"/>
      <protection/>
    </xf>
    <xf numFmtId="164" fontId="24" fillId="0" borderId="10" xfId="40" applyFont="1" applyFill="1" applyBorder="1" applyAlignment="1">
      <alignment/>
      <protection/>
    </xf>
    <xf numFmtId="164" fontId="23" fillId="0" borderId="10" xfId="40" applyFont="1" applyFill="1" applyBorder="1" applyAlignment="1">
      <alignment horizontal="center"/>
      <protection/>
    </xf>
    <xf numFmtId="168" fontId="23" fillId="0" borderId="0" xfId="40" applyNumberFormat="1" applyFont="1" applyFill="1" applyAlignment="1">
      <alignment horizontal="right"/>
      <protection/>
    </xf>
    <xf numFmtId="164" fontId="23" fillId="0" borderId="11" xfId="40" applyFont="1" applyFill="1" applyBorder="1">
      <alignment/>
      <protection/>
    </xf>
    <xf numFmtId="164" fontId="26" fillId="0" borderId="0" xfId="40" applyFont="1" applyFill="1" applyAlignment="1">
      <alignment horizontal="left"/>
      <protection/>
    </xf>
    <xf numFmtId="164" fontId="23" fillId="0" borderId="0" xfId="40" applyFont="1" applyFill="1" applyAlignment="1" applyProtection="1">
      <alignment horizontal="center" vertical="center" wrapText="1"/>
      <protection locked="0"/>
    </xf>
    <xf numFmtId="164" fontId="23" fillId="0" borderId="0" xfId="40" applyFont="1" applyFill="1" applyBorder="1" applyAlignment="1" applyProtection="1">
      <alignment horizontal="center" vertical="center" wrapText="1"/>
      <protection locked="0"/>
    </xf>
    <xf numFmtId="164" fontId="32" fillId="24" borderId="14" xfId="20" applyFont="1" applyFill="1" applyBorder="1" applyAlignment="1">
      <alignment horizontal="center" vertical="center"/>
      <protection/>
    </xf>
    <xf numFmtId="164" fontId="30" fillId="24" borderId="14" xfId="65" applyFont="1" applyFill="1" applyBorder="1" applyAlignment="1">
      <alignment wrapText="1"/>
      <protection/>
    </xf>
    <xf numFmtId="164" fontId="32" fillId="24" borderId="14" xfId="20" applyFont="1" applyFill="1" applyBorder="1" applyAlignment="1" applyProtection="1">
      <alignment horizontal="center" vertical="center" wrapText="1"/>
      <protection/>
    </xf>
    <xf numFmtId="166" fontId="32" fillId="24" borderId="14" xfId="20" applyNumberFormat="1" applyFont="1" applyFill="1" applyBorder="1" applyAlignment="1">
      <alignment horizontal="center" wrapText="1"/>
      <protection/>
    </xf>
    <xf numFmtId="166" fontId="32" fillId="24" borderId="14" xfId="65" applyNumberFormat="1" applyFont="1" applyFill="1" applyBorder="1" applyAlignment="1">
      <alignment horizontal="center" vertical="center"/>
      <protection/>
    </xf>
    <xf numFmtId="164" fontId="30" fillId="24" borderId="14" xfId="65" applyFont="1" applyFill="1" applyBorder="1" applyAlignment="1">
      <alignment horizontal="left" vertical="center" wrapText="1"/>
      <protection/>
    </xf>
    <xf numFmtId="166" fontId="23" fillId="0" borderId="10" xfId="40" applyNumberFormat="1" applyFont="1" applyFill="1" applyBorder="1">
      <alignment/>
      <protection/>
    </xf>
    <xf numFmtId="166" fontId="23" fillId="0" borderId="10" xfId="40" applyNumberFormat="1" applyFont="1" applyFill="1" applyBorder="1" applyAlignment="1">
      <alignment horizontal="center" vertical="center"/>
      <protection/>
    </xf>
    <xf numFmtId="164" fontId="36" fillId="24" borderId="14" xfId="20" applyFont="1" applyFill="1" applyBorder="1" applyAlignment="1">
      <alignment horizontal="center"/>
      <protection/>
    </xf>
    <xf numFmtId="164" fontId="30" fillId="24" borderId="14" xfId="20" applyFont="1" applyFill="1" applyBorder="1" applyAlignment="1" applyProtection="1">
      <alignment horizontal="left" vertical="center" wrapText="1"/>
      <protection/>
    </xf>
    <xf numFmtId="166" fontId="23" fillId="0" borderId="10" xfId="40" applyNumberFormat="1" applyFont="1" applyFill="1" applyBorder="1" applyAlignment="1" applyProtection="1">
      <alignment horizontal="center" vertical="center" wrapText="1"/>
      <protection locked="0"/>
    </xf>
    <xf numFmtId="165" fontId="32" fillId="24" borderId="14" xfId="65" applyNumberFormat="1" applyFont="1" applyFill="1" applyBorder="1" applyAlignment="1">
      <alignment horizontal="center"/>
      <protection/>
    </xf>
    <xf numFmtId="164" fontId="30" fillId="24" borderId="14" xfId="20" applyFont="1" applyFill="1" applyBorder="1" applyAlignment="1">
      <alignment vertical="top" wrapText="1"/>
      <protection/>
    </xf>
    <xf numFmtId="165" fontId="32" fillId="24" borderId="14" xfId="65" applyNumberFormat="1" applyFont="1" applyFill="1" applyBorder="1" applyAlignment="1">
      <alignment horizontal="center" vertical="center" wrapText="1"/>
      <protection/>
    </xf>
    <xf numFmtId="165" fontId="32" fillId="24" borderId="14" xfId="65" applyNumberFormat="1" applyFont="1" applyFill="1" applyBorder="1" applyAlignment="1">
      <alignment horizontal="center" vertical="center"/>
      <protection/>
    </xf>
    <xf numFmtId="164" fontId="30" fillId="24" borderId="15" xfId="65" applyFont="1" applyFill="1" applyBorder="1" applyAlignment="1">
      <alignment vertical="center" wrapText="1"/>
      <protection/>
    </xf>
    <xf numFmtId="164" fontId="23" fillId="24" borderId="0" xfId="41" applyFont="1" applyFill="1" applyAlignment="1">
      <alignment horizontal="center" vertical="center" wrapText="1"/>
      <protection/>
    </xf>
    <xf numFmtId="164" fontId="22" fillId="24" borderId="10" xfId="41" applyFont="1" applyFill="1" applyBorder="1" applyAlignment="1" applyProtection="1">
      <alignment horizontal="center" vertical="center" wrapText="1"/>
      <protection/>
    </xf>
    <xf numFmtId="164" fontId="23" fillId="24" borderId="0" xfId="41" applyFont="1" applyFill="1" applyBorder="1" applyAlignment="1">
      <alignment horizontal="center" vertical="center" wrapText="1"/>
      <protection/>
    </xf>
    <xf numFmtId="164" fontId="23" fillId="24" borderId="10" xfId="41" applyFont="1" applyFill="1" applyBorder="1" applyAlignment="1">
      <alignment horizontal="center" vertical="center" wrapText="1"/>
      <protection/>
    </xf>
    <xf numFmtId="164" fontId="38" fillId="24" borderId="14" xfId="0" applyFont="1" applyFill="1" applyBorder="1" applyAlignment="1">
      <alignment horizontal="left"/>
    </xf>
    <xf numFmtId="164" fontId="0" fillId="24" borderId="0" xfId="0" applyFill="1" applyAlignment="1">
      <alignment/>
    </xf>
    <xf numFmtId="164" fontId="32" fillId="24" borderId="14" xfId="0" applyFont="1" applyFill="1" applyBorder="1" applyAlignment="1">
      <alignment horizontal="center"/>
    </xf>
    <xf numFmtId="167" fontId="30" fillId="24" borderId="14" xfId="65" applyNumberFormat="1" applyFont="1" applyFill="1" applyBorder="1" applyAlignment="1">
      <alignment horizontal="left" vertical="center" wrapText="1"/>
      <protection/>
    </xf>
    <xf numFmtId="164" fontId="32" fillId="24" borderId="14" xfId="65" applyFont="1" applyFill="1" applyBorder="1" applyAlignment="1">
      <alignment horizontal="center"/>
      <protection/>
    </xf>
    <xf numFmtId="172" fontId="32" fillId="24" borderId="14" xfId="65" applyNumberFormat="1" applyFont="1" applyFill="1" applyBorder="1" applyAlignment="1">
      <alignment horizontal="center" vertical="center"/>
      <protection/>
    </xf>
    <xf numFmtId="175" fontId="32" fillId="24" borderId="14" xfId="0" applyNumberFormat="1" applyFont="1" applyFill="1" applyBorder="1" applyAlignment="1">
      <alignment horizontal="center" vertical="center" wrapText="1"/>
    </xf>
    <xf numFmtId="165" fontId="32" fillId="24" borderId="14" xfId="0" applyNumberFormat="1" applyFont="1" applyFill="1" applyBorder="1" applyAlignment="1">
      <alignment horizontal="center" vertical="center" wrapText="1"/>
    </xf>
    <xf numFmtId="164" fontId="32" fillId="24" borderId="14" xfId="0" applyFont="1" applyFill="1" applyBorder="1" applyAlignment="1">
      <alignment horizontal="center" vertical="center" wrapText="1"/>
    </xf>
    <xf numFmtId="164" fontId="38" fillId="24" borderId="14" xfId="0" applyFont="1" applyFill="1" applyBorder="1" applyAlignment="1">
      <alignment horizontal="center"/>
    </xf>
    <xf numFmtId="165" fontId="32" fillId="24" borderId="14" xfId="42" applyNumberFormat="1" applyFont="1" applyFill="1" applyBorder="1" applyAlignment="1">
      <alignment horizontal="center" vertical="center"/>
      <protection/>
    </xf>
    <xf numFmtId="164" fontId="20" fillId="24" borderId="0" xfId="0" applyFont="1" applyFill="1" applyAlignment="1">
      <alignment/>
    </xf>
    <xf numFmtId="167" fontId="30" fillId="0" borderId="14" xfId="65" applyNumberFormat="1" applyFont="1" applyFill="1" applyBorder="1" applyAlignment="1">
      <alignment horizontal="left" vertical="center" wrapText="1"/>
      <protection/>
    </xf>
    <xf numFmtId="164" fontId="32" fillId="0" borderId="14" xfId="65" applyFont="1" applyFill="1" applyBorder="1" applyAlignment="1">
      <alignment horizontal="center"/>
      <protection/>
    </xf>
    <xf numFmtId="165" fontId="32" fillId="0" borderId="14" xfId="65" applyNumberFormat="1" applyFont="1" applyFill="1" applyBorder="1" applyAlignment="1">
      <alignment horizontal="center" vertical="center" wrapText="1"/>
      <protection/>
    </xf>
    <xf numFmtId="165" fontId="32" fillId="0" borderId="14" xfId="65" applyNumberFormat="1" applyFont="1" applyFill="1" applyBorder="1" applyAlignment="1">
      <alignment horizontal="center" vertical="center"/>
      <protection/>
    </xf>
    <xf numFmtId="175" fontId="32" fillId="0" borderId="14" xfId="0" applyNumberFormat="1" applyFont="1" applyFill="1" applyBorder="1" applyAlignment="1">
      <alignment horizontal="center" vertical="center" wrapText="1"/>
    </xf>
    <xf numFmtId="164" fontId="30" fillId="0" borderId="14" xfId="65" applyFont="1" applyFill="1" applyBorder="1" applyAlignment="1">
      <alignment horizontal="left" vertical="center" wrapText="1"/>
      <protection/>
    </xf>
    <xf numFmtId="172" fontId="32" fillId="0" borderId="14" xfId="65" applyNumberFormat="1" applyFont="1" applyFill="1" applyBorder="1" applyAlignment="1">
      <alignment horizontal="center" vertical="center" wrapText="1"/>
      <protection/>
    </xf>
    <xf numFmtId="164" fontId="32" fillId="24" borderId="14" xfId="0" applyFont="1" applyFill="1" applyBorder="1" applyAlignment="1">
      <alignment horizontal="center" wrapText="1"/>
    </xf>
    <xf numFmtId="164" fontId="2" fillId="24" borderId="0" xfId="0" applyFont="1" applyFill="1" applyAlignment="1">
      <alignment/>
    </xf>
    <xf numFmtId="169" fontId="32" fillId="0" borderId="14" xfId="65" applyNumberFormat="1" applyFont="1" applyFill="1" applyBorder="1" applyAlignment="1">
      <alignment horizontal="center"/>
      <protection/>
    </xf>
    <xf numFmtId="164" fontId="32" fillId="0" borderId="10" xfId="0" applyFont="1" applyFill="1" applyBorder="1" applyAlignment="1">
      <alignment horizontal="left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4" fontId="39" fillId="24" borderId="14" xfId="0" applyFont="1" applyFill="1" applyBorder="1" applyAlignment="1">
      <alignment horizontal="center" vertical="center" wrapText="1"/>
    </xf>
    <xf numFmtId="165" fontId="32" fillId="0" borderId="14" xfId="0" applyNumberFormat="1" applyFont="1" applyFill="1" applyBorder="1" applyAlignment="1">
      <alignment horizontal="center" vertical="center" wrapText="1"/>
    </xf>
    <xf numFmtId="164" fontId="30" fillId="0" borderId="14" xfId="65" applyFont="1" applyFill="1" applyBorder="1" applyAlignment="1">
      <alignment horizontal="justify" vertical="center" wrapText="1"/>
      <protection/>
    </xf>
    <xf numFmtId="164" fontId="32" fillId="0" borderId="14" xfId="20" applyFont="1" applyFill="1" applyBorder="1" applyAlignment="1" applyProtection="1">
      <alignment horizontal="center" vertical="center" wrapText="1"/>
      <protection/>
    </xf>
    <xf numFmtId="165" fontId="32" fillId="0" borderId="14" xfId="20" applyNumberFormat="1" applyFont="1" applyFill="1" applyBorder="1" applyAlignment="1">
      <alignment horizontal="center" vertical="center" wrapText="1"/>
      <protection/>
    </xf>
    <xf numFmtId="164" fontId="37" fillId="0" borderId="14" xfId="65" applyFont="1" applyFill="1" applyBorder="1" applyAlignment="1">
      <alignment horizontal="left" vertical="center" wrapText="1"/>
      <protection/>
    </xf>
    <xf numFmtId="164" fontId="40" fillId="24" borderId="14" xfId="0" applyFont="1" applyFill="1" applyBorder="1" applyAlignment="1">
      <alignment horizontal="center" vertical="center" wrapText="1"/>
    </xf>
    <xf numFmtId="164" fontId="30" fillId="0" borderId="14" xfId="20" applyFont="1" applyFill="1" applyBorder="1" applyAlignment="1" applyProtection="1">
      <alignment horizontal="left" vertical="center" wrapText="1"/>
      <protection/>
    </xf>
    <xf numFmtId="175" fontId="32" fillId="0" borderId="14" xfId="0" applyNumberFormat="1" applyFont="1" applyFill="1" applyBorder="1" applyAlignment="1" applyProtection="1">
      <alignment horizontal="center" vertical="center" wrapText="1"/>
      <protection/>
    </xf>
    <xf numFmtId="165" fontId="32" fillId="0" borderId="14" xfId="0" applyNumberFormat="1" applyFont="1" applyFill="1" applyBorder="1" applyAlignment="1" applyProtection="1">
      <alignment horizontal="center" vertical="center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4" fontId="33" fillId="24" borderId="14" xfId="0" applyFont="1" applyFill="1" applyBorder="1" applyAlignment="1">
      <alignment horizontal="left" vertical="center"/>
    </xf>
    <xf numFmtId="165" fontId="33" fillId="24" borderId="14" xfId="0" applyNumberFormat="1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76" fontId="33" fillId="24" borderId="14" xfId="0" applyNumberFormat="1" applyFont="1" applyFill="1" applyBorder="1" applyAlignment="1">
      <alignment horizontal="center" vertical="center" wrapText="1"/>
    </xf>
    <xf numFmtId="164" fontId="32" fillId="24" borderId="14" xfId="0" applyFont="1" applyFill="1" applyBorder="1" applyAlignment="1">
      <alignment horizontal="center"/>
    </xf>
    <xf numFmtId="164" fontId="32" fillId="24" borderId="14" xfId="66" applyFont="1" applyFill="1" applyBorder="1" applyAlignment="1">
      <alignment horizontal="center"/>
      <protection/>
    </xf>
    <xf numFmtId="172" fontId="32" fillId="24" borderId="14" xfId="21" applyNumberFormat="1" applyFont="1" applyFill="1" applyBorder="1" applyAlignment="1">
      <alignment horizontal="center" vertical="center" wrapText="1"/>
      <protection/>
    </xf>
    <xf numFmtId="173" fontId="32" fillId="24" borderId="14" xfId="21" applyNumberFormat="1" applyFont="1" applyFill="1" applyBorder="1" applyAlignment="1">
      <alignment horizontal="center" vertical="center"/>
      <protection/>
    </xf>
    <xf numFmtId="165" fontId="32" fillId="24" borderId="14" xfId="65" applyNumberFormat="1" applyFont="1" applyFill="1" applyBorder="1" applyAlignment="1">
      <alignment horizontal="center" vertical="center"/>
      <protection/>
    </xf>
    <xf numFmtId="173" fontId="32" fillId="24" borderId="14" xfId="0" applyNumberFormat="1" applyFont="1" applyFill="1" applyBorder="1" applyAlignment="1">
      <alignment horizontal="center" vertical="center" wrapText="1"/>
    </xf>
    <xf numFmtId="175" fontId="32" fillId="24" borderId="14" xfId="0" applyNumberFormat="1" applyFont="1" applyFill="1" applyBorder="1" applyAlignment="1">
      <alignment horizontal="center" vertical="center" wrapText="1"/>
    </xf>
    <xf numFmtId="165" fontId="32" fillId="24" borderId="14" xfId="0" applyNumberFormat="1" applyFont="1" applyFill="1" applyBorder="1" applyAlignment="1">
      <alignment horizontal="center" vertical="center" wrapText="1"/>
    </xf>
    <xf numFmtId="164" fontId="32" fillId="24" borderId="14" xfId="0" applyFont="1" applyFill="1" applyBorder="1" applyAlignment="1">
      <alignment horizontal="center" wrapText="1"/>
    </xf>
    <xf numFmtId="168" fontId="32" fillId="24" borderId="14" xfId="65" applyNumberFormat="1" applyFont="1" applyFill="1" applyBorder="1" applyAlignment="1">
      <alignment horizontal="center"/>
      <protection/>
    </xf>
    <xf numFmtId="164" fontId="32" fillId="24" borderId="14" xfId="0" applyFont="1" applyFill="1" applyBorder="1" applyAlignment="1">
      <alignment horizontal="center" vertical="center" wrapText="1"/>
    </xf>
    <xf numFmtId="164" fontId="41" fillId="24" borderId="0" xfId="0" applyFont="1" applyFill="1" applyAlignment="1">
      <alignment/>
    </xf>
    <xf numFmtId="164" fontId="38" fillId="24" borderId="14" xfId="0" applyFont="1" applyFill="1" applyBorder="1" applyAlignment="1">
      <alignment horizontal="center"/>
    </xf>
    <xf numFmtId="164" fontId="30" fillId="24" borderId="14" xfId="0" applyFont="1" applyFill="1" applyBorder="1" applyAlignment="1">
      <alignment wrapText="1"/>
    </xf>
    <xf numFmtId="165" fontId="32" fillId="24" borderId="14" xfId="21" applyNumberFormat="1" applyFont="1" applyFill="1" applyBorder="1" applyAlignment="1">
      <alignment horizontal="center" vertical="center" wrapText="1"/>
      <protection/>
    </xf>
    <xf numFmtId="164" fontId="37" fillId="24" borderId="14" xfId="0" applyFont="1" applyFill="1" applyBorder="1" applyAlignment="1">
      <alignment horizontal="left" wrapText="1"/>
    </xf>
    <xf numFmtId="164" fontId="30" fillId="24" borderId="14" xfId="0" applyFont="1" applyFill="1" applyBorder="1" applyAlignment="1">
      <alignment horizontal="left" wrapText="1"/>
    </xf>
    <xf numFmtId="167" fontId="32" fillId="24" borderId="14" xfId="0" applyNumberFormat="1" applyFont="1" applyFill="1" applyBorder="1" applyAlignment="1" applyProtection="1">
      <alignment horizontal="center" vertical="top" wrapText="1"/>
      <protection/>
    </xf>
    <xf numFmtId="164" fontId="41" fillId="24" borderId="0" xfId="0" applyFont="1" applyFill="1" applyAlignment="1">
      <alignment horizontal="center"/>
    </xf>
    <xf numFmtId="164" fontId="33" fillId="24" borderId="14" xfId="0" applyFont="1" applyFill="1" applyBorder="1" applyAlignment="1">
      <alignment vertical="center"/>
    </xf>
    <xf numFmtId="169" fontId="33" fillId="24" borderId="14" xfId="0" applyNumberFormat="1" applyFont="1" applyFill="1" applyBorder="1" applyAlignment="1">
      <alignment horizontal="center" vertical="center" wrapText="1"/>
    </xf>
    <xf numFmtId="169" fontId="42" fillId="24" borderId="14" xfId="0" applyNumberFormat="1" applyFont="1" applyFill="1" applyBorder="1" applyAlignment="1">
      <alignment horizontal="center" vertical="center" wrapText="1"/>
    </xf>
    <xf numFmtId="164" fontId="30" fillId="24" borderId="14" xfId="20" applyFont="1" applyFill="1" applyBorder="1" applyAlignment="1" applyProtection="1">
      <alignment horizontal="justify" vertical="center" wrapText="1"/>
      <protection/>
    </xf>
    <xf numFmtId="169" fontId="43" fillId="24" borderId="14" xfId="20" applyNumberFormat="1" applyFont="1" applyFill="1" applyBorder="1" applyAlignment="1" applyProtection="1">
      <alignment horizontal="center" vertical="center" wrapText="1"/>
      <protection/>
    </xf>
    <xf numFmtId="165" fontId="32" fillId="24" borderId="14" xfId="20" applyNumberFormat="1" applyFont="1" applyFill="1" applyBorder="1" applyAlignment="1">
      <alignment horizontal="center" vertical="center" wrapText="1"/>
      <protection/>
    </xf>
    <xf numFmtId="164" fontId="32" fillId="24" borderId="14" xfId="20" applyFont="1" applyFill="1" applyBorder="1" applyAlignment="1">
      <alignment horizontal="center" vertical="center" wrapText="1"/>
      <protection/>
    </xf>
    <xf numFmtId="164" fontId="37" fillId="24" borderId="14" xfId="0" applyFont="1" applyFill="1" applyBorder="1" applyAlignment="1">
      <alignment horizontal="justify" vertical="center"/>
    </xf>
    <xf numFmtId="169" fontId="32" fillId="24" borderId="14" xfId="20" applyNumberFormat="1" applyFont="1" applyFill="1" applyBorder="1" applyAlignment="1" applyProtection="1">
      <alignment horizontal="center" vertical="center" wrapText="1"/>
      <protection/>
    </xf>
    <xf numFmtId="164" fontId="30" fillId="24" borderId="14" xfId="20" applyFont="1" applyFill="1" applyBorder="1" applyAlignment="1" applyProtection="1">
      <alignment horizontal="left" vertical="center" wrapText="1"/>
      <protection/>
    </xf>
    <xf numFmtId="169" fontId="32" fillId="24" borderId="14" xfId="0" applyNumberFormat="1" applyFont="1" applyFill="1" applyBorder="1" applyAlignment="1">
      <alignment horizontal="center"/>
    </xf>
    <xf numFmtId="164" fontId="32" fillId="24" borderId="14" xfId="20" applyFont="1" applyFill="1" applyBorder="1" applyAlignment="1">
      <alignment horizontal="center" wrapText="1"/>
      <protection/>
    </xf>
    <xf numFmtId="168" fontId="32" fillId="24" borderId="14" xfId="65" applyNumberFormat="1" applyFont="1" applyFill="1" applyBorder="1" applyAlignment="1">
      <alignment horizontal="center"/>
      <protection/>
    </xf>
    <xf numFmtId="164" fontId="33" fillId="24" borderId="14" xfId="20" applyFont="1" applyFill="1" applyBorder="1" applyAlignment="1">
      <alignment horizontal="center" vertical="center" wrapText="1"/>
      <protection/>
    </xf>
    <xf numFmtId="164" fontId="44" fillId="24" borderId="0" xfId="0" applyFont="1" applyFill="1" applyAlignment="1">
      <alignment/>
    </xf>
    <xf numFmtId="164" fontId="38" fillId="24" borderId="14" xfId="0" applyFont="1" applyFill="1" applyBorder="1" applyAlignment="1">
      <alignment horizontal="left" vertical="center"/>
    </xf>
    <xf numFmtId="169" fontId="32" fillId="24" borderId="14" xfId="65" applyNumberFormat="1" applyFont="1" applyFill="1" applyBorder="1" applyAlignment="1">
      <alignment horizontal="center" vertical="center"/>
      <protection/>
    </xf>
    <xf numFmtId="169" fontId="32" fillId="0" borderId="14" xfId="65" applyNumberFormat="1" applyFont="1" applyFill="1" applyBorder="1" applyAlignment="1">
      <alignment horizontal="center" vertical="center"/>
      <protection/>
    </xf>
    <xf numFmtId="169" fontId="45" fillId="0" borderId="14" xfId="20" applyNumberFormat="1" applyFont="1" applyFill="1" applyBorder="1" applyAlignment="1" applyProtection="1">
      <alignment horizontal="center" vertical="center" wrapText="1"/>
      <protection/>
    </xf>
    <xf numFmtId="169" fontId="33" fillId="24" borderId="14" xfId="65" applyNumberFormat="1" applyFont="1" applyFill="1" applyBorder="1" applyAlignment="1">
      <alignment horizontal="center" vertical="center"/>
      <protection/>
    </xf>
    <xf numFmtId="165" fontId="32" fillId="24" borderId="14" xfId="20" applyNumberFormat="1" applyFont="1" applyFill="1" applyBorder="1" applyAlignment="1">
      <alignment horizontal="center" wrapText="1"/>
      <protection/>
    </xf>
    <xf numFmtId="165" fontId="32" fillId="24" borderId="14" xfId="20" applyNumberFormat="1" applyFont="1" applyFill="1" applyBorder="1" applyAlignment="1">
      <alignment horizontal="center"/>
      <protection/>
    </xf>
    <xf numFmtId="164" fontId="32" fillId="24" borderId="14" xfId="20" applyFont="1" applyFill="1" applyBorder="1" applyAlignment="1">
      <alignment horizontal="center"/>
      <protection/>
    </xf>
    <xf numFmtId="164" fontId="38" fillId="24" borderId="14" xfId="20" applyFont="1" applyFill="1" applyBorder="1" applyAlignment="1">
      <alignment horizontal="center"/>
      <protection/>
    </xf>
    <xf numFmtId="165" fontId="33" fillId="24" borderId="14" xfId="0" applyNumberFormat="1" applyFont="1" applyFill="1" applyBorder="1" applyAlignment="1">
      <alignment horizontal="center" vertical="center"/>
    </xf>
    <xf numFmtId="169" fontId="32" fillId="24" borderId="14" xfId="65" applyNumberFormat="1" applyFont="1" applyFill="1" applyBorder="1" applyAlignment="1">
      <alignment horizontal="center"/>
      <protection/>
    </xf>
    <xf numFmtId="177" fontId="33" fillId="24" borderId="14" xfId="0" applyNumberFormat="1" applyFont="1" applyFill="1" applyBorder="1" applyAlignment="1">
      <alignment horizontal="center" vertical="center"/>
    </xf>
    <xf numFmtId="175" fontId="33" fillId="24" borderId="14" xfId="0" applyNumberFormat="1" applyFont="1" applyFill="1" applyBorder="1" applyAlignment="1">
      <alignment horizontal="center" vertical="center"/>
    </xf>
    <xf numFmtId="171" fontId="33" fillId="24" borderId="14" xfId="0" applyNumberFormat="1" applyFont="1" applyFill="1" applyBorder="1" applyAlignment="1">
      <alignment horizontal="center" vertical="center"/>
    </xf>
    <xf numFmtId="176" fontId="33" fillId="24" borderId="14" xfId="0" applyNumberFormat="1" applyFont="1" applyFill="1" applyBorder="1" applyAlignment="1">
      <alignment horizontal="center" vertical="center"/>
    </xf>
    <xf numFmtId="175" fontId="42" fillId="24" borderId="0" xfId="0" applyNumberFormat="1" applyFont="1" applyFill="1" applyBorder="1" applyAlignment="1">
      <alignment horizontal="center" vertical="center"/>
    </xf>
    <xf numFmtId="175" fontId="33" fillId="24" borderId="0" xfId="0" applyNumberFormat="1" applyFont="1" applyFill="1" applyBorder="1" applyAlignment="1">
      <alignment horizontal="center" vertical="center"/>
    </xf>
    <xf numFmtId="164" fontId="24" fillId="24" borderId="0" xfId="64" applyFont="1" applyFill="1" applyBorder="1" applyAlignment="1" applyProtection="1">
      <alignment horizontal="left"/>
      <protection hidden="1"/>
    </xf>
    <xf numFmtId="164" fontId="46" fillId="24" borderId="0" xfId="64" applyFont="1" applyFill="1" applyBorder="1" applyAlignment="1" applyProtection="1">
      <alignment horizontal="left"/>
      <protection hidden="1"/>
    </xf>
    <xf numFmtId="164" fontId="25" fillId="24" borderId="0" xfId="41" applyFont="1" applyFill="1" applyAlignment="1">
      <alignment horizontal="center" vertical="center" wrapText="1"/>
      <protection/>
    </xf>
    <xf numFmtId="169" fontId="25" fillId="24" borderId="0" xfId="41" applyNumberFormat="1" applyFont="1" applyFill="1" applyAlignment="1">
      <alignment horizontal="center" vertical="center" wrapText="1"/>
      <protection/>
    </xf>
    <xf numFmtId="164" fontId="47" fillId="24" borderId="0" xfId="41" applyFont="1" applyFill="1" applyBorder="1" applyAlignment="1">
      <alignment horizontal="center" vertical="center"/>
      <protection/>
    </xf>
    <xf numFmtId="164" fontId="25" fillId="24" borderId="0" xfId="41" applyFont="1" applyFill="1" applyAlignment="1" applyProtection="1">
      <alignment horizontal="center" vertical="center"/>
      <protection/>
    </xf>
    <xf numFmtId="164" fontId="4" fillId="24" borderId="0" xfId="41" applyFont="1" applyFill="1" applyAlignment="1" applyProtection="1">
      <alignment horizontal="center" vertical="center"/>
      <protection/>
    </xf>
    <xf numFmtId="164" fontId="23" fillId="24" borderId="0" xfId="64" applyFont="1" applyFill="1" applyProtection="1">
      <alignment/>
      <protection hidden="1"/>
    </xf>
    <xf numFmtId="164" fontId="45" fillId="24" borderId="0" xfId="64" applyFont="1" applyFill="1" applyProtection="1">
      <alignment/>
      <protection hidden="1"/>
    </xf>
    <xf numFmtId="164" fontId="45" fillId="24" borderId="0" xfId="41" applyFont="1" applyFill="1" applyAlignment="1">
      <alignment horizontal="center"/>
      <protection/>
    </xf>
    <xf numFmtId="164" fontId="45" fillId="24" borderId="0" xfId="64" applyFont="1" applyFill="1" applyAlignment="1" applyProtection="1">
      <alignment horizontal="left"/>
      <protection hidden="1"/>
    </xf>
    <xf numFmtId="164" fontId="45" fillId="24" borderId="0" xfId="64" applyFont="1" applyFill="1" applyAlignment="1" applyProtection="1">
      <alignment/>
      <protection hidden="1"/>
    </xf>
    <xf numFmtId="164" fontId="45" fillId="24" borderId="0" xfId="64" applyFont="1" applyFill="1" applyBorder="1" applyAlignment="1" applyProtection="1">
      <alignment horizontal="left"/>
      <protection hidden="1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3;&#10;JournalTemplate=C:\COMFO\CTALK\JOURSTD.TPL&#13;&#10;LbStateAddress=3 3 0 251 1 89 2 311&#13;&#10;LbStateJou" xfId="20"/>
    <cellStyle name="&#13;&#10;JournalTemplate=C:\COMFO\CTALK\JOURSTD.TPL&#13;&#10;LbStateAddress=3 3 0 251 1 89 2 311&#13;&#10;LbStateJou 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Iau?iue" xfId="40"/>
    <cellStyle name="Iau?iue_dodatok" xfId="41"/>
    <cellStyle name="TableStyleLight1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dodatok" xfId="61"/>
    <cellStyle name="Обычный_dodatok_ 1" xfId="62"/>
    <cellStyle name="Обычный_MYSOR2~1" xfId="63"/>
    <cellStyle name="Обычный_nkre1" xfId="64"/>
    <cellStyle name="Обычный_Zakupki" xfId="65"/>
    <cellStyle name="Обычный_Zakupki 2" xfId="66"/>
    <cellStyle name="Обычный_ИТОГОВАЯ ИНВЕСТ Готовая с деньгами 2013  12.06.12г" xfId="67"/>
    <cellStyle name="Обычный_Лист1" xfId="68"/>
    <cellStyle name="Обычный_новий шаблон ф.132" xfId="69"/>
    <cellStyle name="Обычный_шаблон ХОЭ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  <cellStyle name="Excel Built-in Normal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3"/>
  </sheetPr>
  <dimension ref="A1:M18"/>
  <sheetViews>
    <sheetView zoomScale="75" zoomScaleNormal="75" workbookViewId="0" topLeftCell="A1">
      <selection activeCell="J13" sqref="J13"/>
    </sheetView>
  </sheetViews>
  <sheetFormatPr defaultColWidth="9.140625" defaultRowHeight="12.75"/>
  <cols>
    <col min="1" max="1" width="4.00390625" style="1" customWidth="1"/>
    <col min="2" max="2" width="32.28125" style="1" customWidth="1"/>
    <col min="3" max="3" width="15.7109375" style="1" customWidth="1"/>
    <col min="4" max="4" width="9.140625" style="1" customWidth="1"/>
    <col min="5" max="5" width="17.140625" style="1" customWidth="1"/>
    <col min="6" max="6" width="8.7109375" style="1" customWidth="1"/>
    <col min="7" max="8" width="15.7109375" style="1" customWidth="1"/>
    <col min="9" max="9" width="17.00390625" style="1" customWidth="1"/>
    <col min="10" max="10" width="14.28125" style="1" customWidth="1"/>
    <col min="11" max="16384" width="9.140625" style="1" customWidth="1"/>
  </cols>
  <sheetData>
    <row r="1" spans="1:10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3" t="s">
        <v>1</v>
      </c>
      <c r="B2" s="4" t="s">
        <v>2</v>
      </c>
      <c r="C2" s="5" t="s">
        <v>3</v>
      </c>
      <c r="D2" s="5"/>
      <c r="E2" s="4" t="s">
        <v>4</v>
      </c>
      <c r="F2" s="4"/>
      <c r="G2" s="4"/>
      <c r="H2" s="4"/>
      <c r="I2" s="4"/>
      <c r="J2" s="4"/>
    </row>
    <row r="3" spans="1:10" ht="30.75" customHeight="1">
      <c r="A3" s="3"/>
      <c r="B3" s="4"/>
      <c r="C3" s="5"/>
      <c r="D3" s="5"/>
      <c r="E3" s="6">
        <v>2016</v>
      </c>
      <c r="F3" s="6"/>
      <c r="G3" s="5">
        <v>2017</v>
      </c>
      <c r="H3" s="5">
        <v>2018</v>
      </c>
      <c r="I3" s="5">
        <v>2019</v>
      </c>
      <c r="J3" s="5">
        <v>2020</v>
      </c>
    </row>
    <row r="4" spans="1:10" ht="30.75" customHeight="1">
      <c r="A4" s="3"/>
      <c r="B4" s="4"/>
      <c r="C4" s="3" t="s">
        <v>5</v>
      </c>
      <c r="D4" s="4" t="s">
        <v>6</v>
      </c>
      <c r="E4" s="3" t="s">
        <v>5</v>
      </c>
      <c r="F4" s="4" t="s">
        <v>6</v>
      </c>
      <c r="G4" s="3" t="s">
        <v>5</v>
      </c>
      <c r="H4" s="3" t="s">
        <v>5</v>
      </c>
      <c r="I4" s="3" t="s">
        <v>5</v>
      </c>
      <c r="J4" s="3" t="s">
        <v>5</v>
      </c>
    </row>
    <row r="5" spans="1:10" ht="45" customHeight="1">
      <c r="A5" s="3">
        <v>1</v>
      </c>
      <c r="B5" s="7" t="s">
        <v>7</v>
      </c>
      <c r="C5" s="8">
        <f aca="true" t="shared" si="0" ref="C5:C12">E5+G5+H5+I5+J5</f>
        <v>501087.9750000001</v>
      </c>
      <c r="D5" s="9">
        <f>C5/C12</f>
        <v>0.8850947465793202</v>
      </c>
      <c r="E5" s="8">
        <f>'6. Проведення закупівлі'!F25</f>
        <v>100217.59500000002</v>
      </c>
      <c r="F5" s="9">
        <f>E5/E12</f>
        <v>0.8850947465793202</v>
      </c>
      <c r="G5" s="8">
        <f aca="true" t="shared" si="1" ref="G5:G11">E5</f>
        <v>100217.59500000002</v>
      </c>
      <c r="H5" s="8">
        <f aca="true" t="shared" si="2" ref="H5:H11">G5</f>
        <v>100217.59500000002</v>
      </c>
      <c r="I5" s="8">
        <f aca="true" t="shared" si="3" ref="I5:I11">H5</f>
        <v>100217.59500000002</v>
      </c>
      <c r="J5" s="8">
        <f aca="true" t="shared" si="4" ref="J5:J11">I5</f>
        <v>100217.59500000002</v>
      </c>
    </row>
    <row r="6" spans="1:10" ht="30" customHeight="1">
      <c r="A6" s="3">
        <v>2</v>
      </c>
      <c r="B6" s="7" t="s">
        <v>8</v>
      </c>
      <c r="C6" s="8">
        <f t="shared" si="0"/>
        <v>19152.6</v>
      </c>
      <c r="D6" s="9">
        <f>C6/C12</f>
        <v>0.03383011864001542</v>
      </c>
      <c r="E6" s="8">
        <f>'6. Проведення закупівлі'!F33</f>
        <v>3830.52</v>
      </c>
      <c r="F6" s="9">
        <f>E6/E12</f>
        <v>0.03383011864001543</v>
      </c>
      <c r="G6" s="8">
        <f t="shared" si="1"/>
        <v>3830.52</v>
      </c>
      <c r="H6" s="8">
        <f t="shared" si="2"/>
        <v>3830.52</v>
      </c>
      <c r="I6" s="8">
        <f t="shared" si="3"/>
        <v>3830.52</v>
      </c>
      <c r="J6" s="8">
        <f t="shared" si="4"/>
        <v>3830.52</v>
      </c>
    </row>
    <row r="7" spans="1:10" ht="60" customHeight="1">
      <c r="A7" s="3">
        <v>3</v>
      </c>
      <c r="B7" s="7" t="s">
        <v>9</v>
      </c>
      <c r="C7" s="8">
        <f t="shared" si="0"/>
        <v>3745.2</v>
      </c>
      <c r="D7" s="9">
        <f>C7/C12</f>
        <v>0.006615319086212095</v>
      </c>
      <c r="E7" s="8">
        <f>'6. Проведення закупівлі'!F37</f>
        <v>749.04</v>
      </c>
      <c r="F7" s="9">
        <f>E7/E12</f>
        <v>0.006615319086212095</v>
      </c>
      <c r="G7" s="8">
        <f t="shared" si="1"/>
        <v>749.04</v>
      </c>
      <c r="H7" s="8">
        <f t="shared" si="2"/>
        <v>749.04</v>
      </c>
      <c r="I7" s="8">
        <f t="shared" si="3"/>
        <v>749.04</v>
      </c>
      <c r="J7" s="8">
        <f t="shared" si="4"/>
        <v>749.04</v>
      </c>
    </row>
    <row r="8" spans="1:10" ht="30" customHeight="1">
      <c r="A8" s="3">
        <v>4</v>
      </c>
      <c r="B8" s="7" t="s">
        <v>10</v>
      </c>
      <c r="C8" s="8">
        <f t="shared" si="0"/>
        <v>6208.25</v>
      </c>
      <c r="D8" s="9">
        <f>C8/C12</f>
        <v>0.010965917632429842</v>
      </c>
      <c r="E8" s="8">
        <f>'6. Проведення закупівлі'!F48</f>
        <v>1241.65</v>
      </c>
      <c r="F8" s="9">
        <f>E8/E12</f>
        <v>0.010965917632429842</v>
      </c>
      <c r="G8" s="8">
        <f t="shared" si="1"/>
        <v>1241.65</v>
      </c>
      <c r="H8" s="8">
        <f t="shared" si="2"/>
        <v>1241.65</v>
      </c>
      <c r="I8" s="8">
        <f t="shared" si="3"/>
        <v>1241.65</v>
      </c>
      <c r="J8" s="8">
        <f t="shared" si="4"/>
        <v>1241.65</v>
      </c>
    </row>
    <row r="9" spans="1:10" ht="30" customHeight="1">
      <c r="A9" s="3">
        <v>5</v>
      </c>
      <c r="B9" s="7" t="s">
        <v>11</v>
      </c>
      <c r="C9" s="8">
        <f t="shared" si="0"/>
        <v>10126.6</v>
      </c>
      <c r="D9" s="9">
        <f>C9/C12</f>
        <v>0.017887079530715423</v>
      </c>
      <c r="E9" s="8">
        <f>'6. Проведення закупівлі'!F56</f>
        <v>2025.3200000000002</v>
      </c>
      <c r="F9" s="9">
        <f>E9/E12</f>
        <v>0.017887079530715427</v>
      </c>
      <c r="G9" s="8">
        <f t="shared" si="1"/>
        <v>2025.3200000000002</v>
      </c>
      <c r="H9" s="8">
        <f t="shared" si="2"/>
        <v>2025.3200000000002</v>
      </c>
      <c r="I9" s="8">
        <f t="shared" si="3"/>
        <v>2025.3200000000002</v>
      </c>
      <c r="J9" s="8">
        <f t="shared" si="4"/>
        <v>2025.3200000000002</v>
      </c>
    </row>
    <row r="10" spans="1:10" ht="30" customHeight="1">
      <c r="A10" s="3">
        <v>6</v>
      </c>
      <c r="B10" s="7" t="s">
        <v>12</v>
      </c>
      <c r="C10" s="8">
        <f t="shared" si="0"/>
        <v>24637.86666666667</v>
      </c>
      <c r="D10" s="9">
        <f>C10/C12</f>
        <v>0.04351899754446993</v>
      </c>
      <c r="E10" s="10">
        <f>'6. Проведення закупівлі'!F61</f>
        <v>4927.573333333334</v>
      </c>
      <c r="F10" s="9">
        <f>E10/E12</f>
        <v>0.04351899754446993</v>
      </c>
      <c r="G10" s="10">
        <f t="shared" si="1"/>
        <v>4927.573333333334</v>
      </c>
      <c r="H10" s="10">
        <f t="shared" si="2"/>
        <v>4927.573333333334</v>
      </c>
      <c r="I10" s="10">
        <f t="shared" si="3"/>
        <v>4927.573333333334</v>
      </c>
      <c r="J10" s="10">
        <f t="shared" si="4"/>
        <v>4927.573333333334</v>
      </c>
    </row>
    <row r="11" spans="1:10" ht="30" customHeight="1">
      <c r="A11" s="3">
        <v>7</v>
      </c>
      <c r="B11" s="7" t="s">
        <v>13</v>
      </c>
      <c r="C11" s="8">
        <f t="shared" si="0"/>
        <v>1182</v>
      </c>
      <c r="D11" s="9">
        <f>C11/C12</f>
        <v>0.002087820986837204</v>
      </c>
      <c r="E11" s="10">
        <f>'6. Проведення закупівлі'!F69</f>
        <v>236.39999999999998</v>
      </c>
      <c r="F11" s="9">
        <f>E11/E12</f>
        <v>0.0020878209868372037</v>
      </c>
      <c r="G11" s="10">
        <f t="shared" si="1"/>
        <v>236.39999999999998</v>
      </c>
      <c r="H11" s="10">
        <f t="shared" si="2"/>
        <v>236.39999999999998</v>
      </c>
      <c r="I11" s="10">
        <f t="shared" si="3"/>
        <v>236.39999999999998</v>
      </c>
      <c r="J11" s="10">
        <f t="shared" si="4"/>
        <v>236.39999999999998</v>
      </c>
    </row>
    <row r="12" spans="1:10" ht="15" customHeight="1">
      <c r="A12" s="7" t="s">
        <v>14</v>
      </c>
      <c r="B12" s="7"/>
      <c r="C12" s="8">
        <f t="shared" si="0"/>
        <v>566140.4916666667</v>
      </c>
      <c r="D12" s="9">
        <f>SUM(D5:D11)</f>
        <v>1</v>
      </c>
      <c r="E12" s="8">
        <f>SUM(E5:E11)</f>
        <v>113228.09833333334</v>
      </c>
      <c r="F12" s="9">
        <f>SUM(F5:F11)</f>
        <v>1</v>
      </c>
      <c r="G12" s="8">
        <f>SUM(G5:G11)</f>
        <v>113228.09833333334</v>
      </c>
      <c r="H12" s="8">
        <f>SUM(H5:H11)</f>
        <v>113228.09833333334</v>
      </c>
      <c r="I12" s="8">
        <f>SUM(I5:I11)</f>
        <v>113228.09833333334</v>
      </c>
      <c r="J12" s="8">
        <f>SUM(J5:J11)</f>
        <v>113228.09833333334</v>
      </c>
    </row>
    <row r="13" spans="1:10" s="13" customFormat="1" ht="15">
      <c r="A13" s="11"/>
      <c r="B13" s="11"/>
      <c r="C13" s="11"/>
      <c r="D13" s="11"/>
      <c r="E13" s="11"/>
      <c r="F13" s="11"/>
      <c r="G13" s="11"/>
      <c r="H13" s="11"/>
      <c r="I13" s="11"/>
      <c r="J13" s="12"/>
    </row>
    <row r="14" spans="1:10" ht="1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3" s="19" customFormat="1" ht="15.75">
      <c r="A15" s="15" t="s">
        <v>15</v>
      </c>
      <c r="B15" s="15"/>
      <c r="C15" s="16"/>
      <c r="D15" s="16"/>
      <c r="E15" s="17" t="s">
        <v>16</v>
      </c>
      <c r="F15" s="17"/>
      <c r="G15" s="18" t="s">
        <v>17</v>
      </c>
      <c r="H15" s="18"/>
      <c r="I15" s="17"/>
      <c r="J15" s="17"/>
      <c r="K15" s="16"/>
      <c r="L15" s="16"/>
      <c r="M15" s="16"/>
    </row>
    <row r="16" spans="1:13" s="23" customFormat="1" ht="15" customHeight="1">
      <c r="A16" s="20" t="s">
        <v>18</v>
      </c>
      <c r="B16" s="20"/>
      <c r="C16" s="21"/>
      <c r="D16" s="21"/>
      <c r="E16" s="17" t="s">
        <v>19</v>
      </c>
      <c r="F16" s="17"/>
      <c r="G16" s="22" t="s">
        <v>20</v>
      </c>
      <c r="H16" s="22"/>
      <c r="I16" s="17"/>
      <c r="J16" s="17"/>
      <c r="K16" s="21"/>
      <c r="L16" s="21"/>
      <c r="M16" s="21"/>
    </row>
    <row r="17" spans="1:13" s="19" customFormat="1" ht="12.75">
      <c r="A17" s="24"/>
      <c r="B17" s="2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9" customFormat="1" ht="12.75">
      <c r="A18" s="25" t="s">
        <v>21</v>
      </c>
      <c r="B18" s="25"/>
      <c r="C18" s="25"/>
      <c r="D18" s="25"/>
      <c r="E18" s="26" t="s">
        <v>22</v>
      </c>
      <c r="F18" s="27"/>
      <c r="G18" s="16"/>
      <c r="H18" s="16"/>
      <c r="I18" s="16"/>
      <c r="J18" s="16"/>
      <c r="K18" s="16"/>
      <c r="L18" s="16"/>
      <c r="M18" s="16"/>
    </row>
    <row r="20" ht="14.25"/>
  </sheetData>
  <sheetProtection selectLockedCells="1" selectUnlockedCells="1"/>
  <mergeCells count="10">
    <mergeCell ref="A1:J1"/>
    <mergeCell ref="A2:A4"/>
    <mergeCell ref="B2:B4"/>
    <mergeCell ref="C2:D3"/>
    <mergeCell ref="E2:J2"/>
    <mergeCell ref="E3:F3"/>
    <mergeCell ref="A12:B12"/>
    <mergeCell ref="G15:H15"/>
    <mergeCell ref="G16:H16"/>
    <mergeCell ref="A18:D18"/>
  </mergeCells>
  <printOptions/>
  <pageMargins left="0.6097222222222223" right="0.35" top="0.7701388888888889" bottom="1" header="0.5118055555555555" footer="0.5118055555555555"/>
  <pageSetup horizontalDpi="300" verticalDpi="3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3"/>
  </sheetPr>
  <dimension ref="A1:K10"/>
  <sheetViews>
    <sheetView zoomScale="75" zoomScaleNormal="75" workbookViewId="0" topLeftCell="A1">
      <selection activeCell="G16" sqref="G16"/>
    </sheetView>
  </sheetViews>
  <sheetFormatPr defaultColWidth="9.140625" defaultRowHeight="12.75"/>
  <cols>
    <col min="1" max="1" width="4.28125" style="21" customWidth="1"/>
    <col min="2" max="2" width="23.8515625" style="21" customWidth="1"/>
    <col min="3" max="6" width="10.7109375" style="21" customWidth="1"/>
    <col min="7" max="7" width="16.28125" style="21" customWidth="1"/>
    <col min="8" max="9" width="11.8515625" style="21" customWidth="1"/>
    <col min="10" max="10" width="11.57421875" style="21" customWidth="1"/>
    <col min="11" max="11" width="11.421875" style="21" customWidth="1"/>
    <col min="12" max="16384" width="9.140625" style="21" customWidth="1"/>
  </cols>
  <sheetData>
    <row r="1" spans="1:11" s="206" customFormat="1" ht="25.5" customHeight="1">
      <c r="A1" s="2" t="s">
        <v>593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07" customFormat="1" ht="14.25" customHeight="1">
      <c r="A2" s="3" t="s">
        <v>1</v>
      </c>
      <c r="B2" s="3" t="s">
        <v>24</v>
      </c>
      <c r="C2" s="5" t="s">
        <v>3</v>
      </c>
      <c r="D2" s="5"/>
      <c r="E2" s="3" t="s">
        <v>4</v>
      </c>
      <c r="F2" s="3"/>
      <c r="G2" s="3"/>
      <c r="H2" s="3"/>
      <c r="I2" s="3"/>
      <c r="J2" s="3"/>
      <c r="K2" s="3"/>
    </row>
    <row r="3" spans="1:11" s="207" customFormat="1" ht="35.25" customHeight="1">
      <c r="A3" s="3"/>
      <c r="B3" s="3"/>
      <c r="C3" s="5"/>
      <c r="D3" s="5"/>
      <c r="E3" s="30">
        <v>2016</v>
      </c>
      <c r="F3" s="30"/>
      <c r="G3" s="30"/>
      <c r="H3" s="30">
        <v>2017</v>
      </c>
      <c r="I3" s="30">
        <v>2018</v>
      </c>
      <c r="J3" s="30">
        <v>2019</v>
      </c>
      <c r="K3" s="30">
        <v>2020</v>
      </c>
    </row>
    <row r="4" spans="1:11" s="207" customFormat="1" ht="24" customHeight="1">
      <c r="A4" s="3"/>
      <c r="B4" s="3"/>
      <c r="C4" s="3" t="s">
        <v>31</v>
      </c>
      <c r="D4" s="3" t="s">
        <v>6</v>
      </c>
      <c r="E4" s="3" t="s">
        <v>32</v>
      </c>
      <c r="F4" s="3"/>
      <c r="G4" s="3" t="s">
        <v>559</v>
      </c>
      <c r="H4" s="3" t="s">
        <v>31</v>
      </c>
      <c r="I4" s="3" t="s">
        <v>31</v>
      </c>
      <c r="J4" s="3" t="s">
        <v>31</v>
      </c>
      <c r="K4" s="3" t="s">
        <v>31</v>
      </c>
    </row>
    <row r="5" spans="1:11" s="207" customFormat="1" ht="24.75" customHeight="1">
      <c r="A5" s="3"/>
      <c r="B5" s="3"/>
      <c r="C5" s="3"/>
      <c r="D5" s="3"/>
      <c r="E5" s="3" t="s">
        <v>31</v>
      </c>
      <c r="F5" s="3" t="s">
        <v>6</v>
      </c>
      <c r="G5" s="3"/>
      <c r="H5" s="3"/>
      <c r="I5" s="3"/>
      <c r="J5" s="3"/>
      <c r="K5" s="3"/>
    </row>
    <row r="6" spans="1:11" s="207" customFormat="1" ht="14.2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s="206" customFormat="1" ht="51.75">
      <c r="A7" s="208">
        <v>1</v>
      </c>
      <c r="B7" s="209" t="s">
        <v>594</v>
      </c>
      <c r="C7" s="210">
        <f aca="true" t="shared" si="0" ref="C7:C10">E7+H7+I7+J7+K7</f>
        <v>8740</v>
      </c>
      <c r="D7" s="211">
        <f>C7/C10</f>
        <v>0.35473874546683254</v>
      </c>
      <c r="E7" s="10">
        <v>1748</v>
      </c>
      <c r="F7" s="212">
        <f>E7/E10</f>
        <v>0.35473874546683254</v>
      </c>
      <c r="G7" s="5"/>
      <c r="H7" s="10">
        <f aca="true" t="shared" si="1" ref="H7:H9">E7</f>
        <v>1748</v>
      </c>
      <c r="I7" s="10">
        <f aca="true" t="shared" si="2" ref="I7:I9">H7</f>
        <v>1748</v>
      </c>
      <c r="J7" s="10">
        <f aca="true" t="shared" si="3" ref="J7:J9">I7</f>
        <v>1748</v>
      </c>
      <c r="K7" s="10">
        <f>H7</f>
        <v>1748</v>
      </c>
    </row>
    <row r="8" spans="1:11" ht="35.25">
      <c r="A8" s="208">
        <v>2</v>
      </c>
      <c r="B8" s="209" t="s">
        <v>595</v>
      </c>
      <c r="C8" s="210">
        <f t="shared" si="0"/>
        <v>3481.2</v>
      </c>
      <c r="D8" s="211">
        <f>C8/C10</f>
        <v>0.14129479642095394</v>
      </c>
      <c r="E8" s="10">
        <v>696.24</v>
      </c>
      <c r="F8" s="212">
        <f>E8/E10</f>
        <v>0.14129479642095394</v>
      </c>
      <c r="G8" s="186"/>
      <c r="H8" s="10">
        <f t="shared" si="1"/>
        <v>696.24</v>
      </c>
      <c r="I8" s="10">
        <f t="shared" si="2"/>
        <v>696.24</v>
      </c>
      <c r="J8" s="10">
        <f t="shared" si="3"/>
        <v>696.24</v>
      </c>
      <c r="K8" s="10">
        <f aca="true" t="shared" si="4" ref="K8:K9">J8</f>
        <v>696.24</v>
      </c>
    </row>
    <row r="9" spans="1:11" ht="51.75">
      <c r="A9" s="208">
        <v>3</v>
      </c>
      <c r="B9" s="213" t="s">
        <v>596</v>
      </c>
      <c r="C9" s="210">
        <f t="shared" si="0"/>
        <v>12416.65</v>
      </c>
      <c r="D9" s="211">
        <f>C9/C10</f>
        <v>0.5039664581122135</v>
      </c>
      <c r="E9" s="10">
        <v>2483.33</v>
      </c>
      <c r="F9" s="212">
        <f>E9/E10</f>
        <v>0.5039664581122135</v>
      </c>
      <c r="G9" s="186"/>
      <c r="H9" s="10">
        <f t="shared" si="1"/>
        <v>2483.33</v>
      </c>
      <c r="I9" s="10">
        <f t="shared" si="2"/>
        <v>2483.33</v>
      </c>
      <c r="J9" s="10">
        <f t="shared" si="3"/>
        <v>2483.33</v>
      </c>
      <c r="K9" s="10">
        <f t="shared" si="4"/>
        <v>2483.33</v>
      </c>
    </row>
    <row r="10" spans="1:11" ht="18.75">
      <c r="A10" s="202" t="s">
        <v>14</v>
      </c>
      <c r="B10" s="202"/>
      <c r="C10" s="210">
        <f t="shared" si="0"/>
        <v>24637.85</v>
      </c>
      <c r="D10" s="214">
        <f>SUM(D7:D9)</f>
        <v>1</v>
      </c>
      <c r="E10" s="10">
        <f>SUM(E7:E9)</f>
        <v>4927.57</v>
      </c>
      <c r="F10" s="215">
        <f>SUM(F7:F9)</f>
        <v>1</v>
      </c>
      <c r="G10" s="186"/>
      <c r="H10" s="202">
        <f>SUM(H7:H9)</f>
        <v>4927.57</v>
      </c>
      <c r="I10" s="202">
        <f>SUM(I7:I9)</f>
        <v>4927.57</v>
      </c>
      <c r="J10" s="202">
        <f>SUM(J7:J9)</f>
        <v>4927.57</v>
      </c>
      <c r="K10" s="202">
        <f>SUM(K7:K9)</f>
        <v>4927.57</v>
      </c>
    </row>
    <row r="11" ht="15.75"/>
    <row r="16" ht="15.75"/>
  </sheetData>
  <sheetProtection selectLockedCells="1" selectUnlockedCells="1"/>
  <mergeCells count="15">
    <mergeCell ref="A1:K1"/>
    <mergeCell ref="A2:A5"/>
    <mergeCell ref="B2:B5"/>
    <mergeCell ref="C2:D3"/>
    <mergeCell ref="E2:K2"/>
    <mergeCell ref="E3:G3"/>
    <mergeCell ref="C4:C5"/>
    <mergeCell ref="D4:D5"/>
    <mergeCell ref="E4:F4"/>
    <mergeCell ref="G4:G5"/>
    <mergeCell ref="H4:H5"/>
    <mergeCell ref="I4:I5"/>
    <mergeCell ref="J4:J5"/>
    <mergeCell ref="K4:K5"/>
    <mergeCell ref="A10:B10"/>
  </mergeCells>
  <printOptions/>
  <pageMargins left="1.1597222222222223" right="0.3298611111111111" top="1" bottom="1" header="0.5118055555555555" footer="0.5118055555555555"/>
  <pageSetup horizontalDpi="300" verticalDpi="3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indexed="43"/>
    <pageSetUpPr fitToPage="1"/>
  </sheetPr>
  <dimension ref="A1:K13"/>
  <sheetViews>
    <sheetView zoomScale="75" zoomScaleNormal="75" workbookViewId="0" topLeftCell="A1">
      <pane ySplit="6" topLeftCell="A7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" width="4.8515625" style="206" customWidth="1"/>
    <col min="2" max="2" width="27.28125" style="206" customWidth="1"/>
    <col min="3" max="3" width="14.421875" style="206" customWidth="1"/>
    <col min="4" max="4" width="10.57421875" style="206" customWidth="1"/>
    <col min="5" max="5" width="11.7109375" style="206" customWidth="1"/>
    <col min="6" max="6" width="9.140625" style="206" customWidth="1"/>
    <col min="7" max="7" width="19.00390625" style="206" customWidth="1"/>
    <col min="8" max="8" width="12.421875" style="206" customWidth="1"/>
    <col min="9" max="9" width="12.28125" style="206" customWidth="1"/>
    <col min="10" max="10" width="12.421875" style="206" customWidth="1"/>
    <col min="11" max="11" width="13.00390625" style="206" customWidth="1"/>
    <col min="12" max="16384" width="9.140625" style="206" customWidth="1"/>
  </cols>
  <sheetData>
    <row r="1" spans="1:11" ht="22.5" customHeight="1">
      <c r="A1" s="2" t="s">
        <v>597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07" customFormat="1" ht="18" customHeight="1">
      <c r="A2" s="3" t="s">
        <v>1</v>
      </c>
      <c r="B2" s="3" t="s">
        <v>24</v>
      </c>
      <c r="C2" s="5" t="s">
        <v>3</v>
      </c>
      <c r="D2" s="5"/>
      <c r="E2" s="3" t="s">
        <v>4</v>
      </c>
      <c r="F2" s="3"/>
      <c r="G2" s="3"/>
      <c r="H2" s="3"/>
      <c r="I2" s="3"/>
      <c r="J2" s="3"/>
      <c r="K2" s="3"/>
    </row>
    <row r="3" spans="1:11" s="207" customFormat="1" ht="31.5" customHeight="1">
      <c r="A3" s="3"/>
      <c r="B3" s="3"/>
      <c r="C3" s="5"/>
      <c r="D3" s="5"/>
      <c r="E3" s="30">
        <v>2016</v>
      </c>
      <c r="F3" s="30"/>
      <c r="G3" s="30"/>
      <c r="H3" s="30">
        <v>2017</v>
      </c>
      <c r="I3" s="30">
        <v>2018</v>
      </c>
      <c r="J3" s="30">
        <v>2019</v>
      </c>
      <c r="K3" s="30">
        <v>2020</v>
      </c>
    </row>
    <row r="4" spans="1:11" s="207" customFormat="1" ht="21.75" customHeight="1">
      <c r="A4" s="3"/>
      <c r="B4" s="3"/>
      <c r="C4" s="3" t="s">
        <v>31</v>
      </c>
      <c r="D4" s="3" t="s">
        <v>6</v>
      </c>
      <c r="E4" s="3" t="s">
        <v>32</v>
      </c>
      <c r="F4" s="3"/>
      <c r="G4" s="3" t="s">
        <v>559</v>
      </c>
      <c r="H4" s="3" t="s">
        <v>31</v>
      </c>
      <c r="I4" s="3" t="s">
        <v>31</v>
      </c>
      <c r="J4" s="3" t="s">
        <v>31</v>
      </c>
      <c r="K4" s="3" t="s">
        <v>31</v>
      </c>
    </row>
    <row r="5" spans="1:11" s="207" customFormat="1" ht="21" customHeight="1">
      <c r="A5" s="3"/>
      <c r="B5" s="3"/>
      <c r="C5" s="3"/>
      <c r="D5" s="3"/>
      <c r="E5" s="3" t="s">
        <v>31</v>
      </c>
      <c r="F5" s="3" t="s">
        <v>6</v>
      </c>
      <c r="G5" s="3"/>
      <c r="H5" s="3"/>
      <c r="I5" s="3"/>
      <c r="J5" s="3"/>
      <c r="K5" s="3"/>
    </row>
    <row r="6" spans="1:11" s="207" customFormat="1" ht="1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35.25">
      <c r="A7" s="216">
        <v>1</v>
      </c>
      <c r="B7" s="217" t="s">
        <v>598</v>
      </c>
      <c r="C7" s="10">
        <f aca="true" t="shared" si="0" ref="C7:C12">E7+H7+I7+J7+K7</f>
        <v>400</v>
      </c>
      <c r="D7" s="218">
        <v>0.019268565262630544</v>
      </c>
      <c r="E7" s="219">
        <v>80</v>
      </c>
      <c r="F7" s="218">
        <f>E7/E13</f>
        <v>0.3384094754653131</v>
      </c>
      <c r="G7" s="5"/>
      <c r="H7" s="219">
        <v>80</v>
      </c>
      <c r="I7" s="219">
        <v>80</v>
      </c>
      <c r="J7" s="219">
        <v>80</v>
      </c>
      <c r="K7" s="219">
        <v>80</v>
      </c>
    </row>
    <row r="8" spans="1:11" ht="67.5">
      <c r="A8" s="216">
        <v>2</v>
      </c>
      <c r="B8" s="220" t="s">
        <v>599</v>
      </c>
      <c r="C8" s="10">
        <f t="shared" si="0"/>
        <v>99.5</v>
      </c>
      <c r="D8" s="218">
        <v>0.03853713052526109</v>
      </c>
      <c r="E8" s="221">
        <v>19.9</v>
      </c>
      <c r="F8" s="218">
        <f>E8/E13</f>
        <v>0.08417935702199662</v>
      </c>
      <c r="G8" s="5"/>
      <c r="H8" s="221">
        <v>19.9</v>
      </c>
      <c r="I8" s="221">
        <v>19.9</v>
      </c>
      <c r="J8" s="221">
        <v>19.9</v>
      </c>
      <c r="K8" s="221">
        <v>19.9</v>
      </c>
    </row>
    <row r="9" spans="1:11" ht="34.5">
      <c r="A9" s="216">
        <v>3</v>
      </c>
      <c r="B9" s="206" t="s">
        <v>600</v>
      </c>
      <c r="C9" s="10">
        <f t="shared" si="0"/>
        <v>184</v>
      </c>
      <c r="D9" s="218">
        <v>0.007346140506377895</v>
      </c>
      <c r="E9" s="222">
        <v>36.8</v>
      </c>
      <c r="F9" s="218">
        <f>E9/E13</f>
        <v>0.155668358714044</v>
      </c>
      <c r="G9" s="5"/>
      <c r="H9" s="222">
        <v>36.8</v>
      </c>
      <c r="I9" s="222">
        <v>36.8</v>
      </c>
      <c r="J9" s="222">
        <v>36.8</v>
      </c>
      <c r="K9" s="222">
        <v>36.8</v>
      </c>
    </row>
    <row r="10" spans="1:11" ht="19.5">
      <c r="A10" s="216">
        <v>4</v>
      </c>
      <c r="B10" s="223" t="s">
        <v>601</v>
      </c>
      <c r="C10" s="10">
        <f t="shared" si="0"/>
        <v>158.5</v>
      </c>
      <c r="D10" s="218">
        <v>0.012765424486492736</v>
      </c>
      <c r="E10" s="222">
        <v>31.7</v>
      </c>
      <c r="F10" s="218">
        <f>E10/E13</f>
        <v>0.1340947546531303</v>
      </c>
      <c r="G10" s="5"/>
      <c r="H10" s="222">
        <v>31.7</v>
      </c>
      <c r="I10" s="222">
        <v>31.7</v>
      </c>
      <c r="J10" s="222">
        <v>31.7</v>
      </c>
      <c r="K10" s="222">
        <v>31.7</v>
      </c>
    </row>
    <row r="11" spans="1:11" ht="35.25">
      <c r="A11" s="216">
        <v>5</v>
      </c>
      <c r="B11" s="223" t="s">
        <v>602</v>
      </c>
      <c r="C11" s="10">
        <f t="shared" si="0"/>
        <v>105</v>
      </c>
      <c r="D11" s="218">
        <v>0.23724420979613858</v>
      </c>
      <c r="E11" s="222">
        <v>21</v>
      </c>
      <c r="F11" s="218">
        <f>E11/E13</f>
        <v>0.08883248730964467</v>
      </c>
      <c r="G11" s="5"/>
      <c r="H11" s="222">
        <v>21</v>
      </c>
      <c r="I11" s="222">
        <v>21</v>
      </c>
      <c r="J11" s="222">
        <v>21</v>
      </c>
      <c r="K11" s="222">
        <v>21</v>
      </c>
    </row>
    <row r="12" spans="1:11" ht="35.25">
      <c r="A12" s="216">
        <v>6</v>
      </c>
      <c r="B12" s="223" t="s">
        <v>603</v>
      </c>
      <c r="C12" s="10">
        <f t="shared" si="0"/>
        <v>235</v>
      </c>
      <c r="D12" s="218">
        <v>0.009875139697098153</v>
      </c>
      <c r="E12" s="222">
        <v>47</v>
      </c>
      <c r="F12" s="218">
        <f>E12/E13</f>
        <v>0.19881556683587143</v>
      </c>
      <c r="G12" s="5"/>
      <c r="H12" s="222">
        <v>47</v>
      </c>
      <c r="I12" s="222">
        <v>47</v>
      </c>
      <c r="J12" s="222">
        <v>47</v>
      </c>
      <c r="K12" s="222">
        <v>47</v>
      </c>
    </row>
    <row r="13" spans="1:11" ht="15" customHeight="1">
      <c r="A13" s="5" t="s">
        <v>14</v>
      </c>
      <c r="B13" s="5"/>
      <c r="C13" s="5">
        <f>SUM(C7:C12)</f>
        <v>1182</v>
      </c>
      <c r="D13" s="218">
        <v>1</v>
      </c>
      <c r="E13" s="5">
        <f>SUM(E7:E12)</f>
        <v>236.39999999999998</v>
      </c>
      <c r="F13" s="218">
        <f>SUM(F7:F12)</f>
        <v>1</v>
      </c>
      <c r="G13" s="5"/>
      <c r="H13" s="5">
        <f>SUM(H7:H12)</f>
        <v>236.39999999999998</v>
      </c>
      <c r="I13" s="5">
        <f>SUM(I7:I12)</f>
        <v>236.39999999999998</v>
      </c>
      <c r="J13" s="5">
        <f>SUM(J7:J12)</f>
        <v>236.39999999999998</v>
      </c>
      <c r="K13" s="5">
        <f>SUM(K7:K12)</f>
        <v>236.39999999999998</v>
      </c>
    </row>
  </sheetData>
  <sheetProtection selectLockedCells="1" selectUnlockedCells="1"/>
  <mergeCells count="15">
    <mergeCell ref="A1:K1"/>
    <mergeCell ref="A2:A5"/>
    <mergeCell ref="B2:B5"/>
    <mergeCell ref="C2:D3"/>
    <mergeCell ref="E2:K2"/>
    <mergeCell ref="E3:G3"/>
    <mergeCell ref="C4:C5"/>
    <mergeCell ref="D4:D5"/>
    <mergeCell ref="E4:F4"/>
    <mergeCell ref="G4:G5"/>
    <mergeCell ref="H4:H5"/>
    <mergeCell ref="I4:I5"/>
    <mergeCell ref="J4:J5"/>
    <mergeCell ref="K4:K5"/>
    <mergeCell ref="A13:B13"/>
  </mergeCells>
  <printOptions horizontalCentered="1"/>
  <pageMargins left="0.5298611111111111" right="0.39375" top="0.6097222222222223" bottom="0.984027777777777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indexed="43"/>
  </sheetPr>
  <dimension ref="A1:X76"/>
  <sheetViews>
    <sheetView tabSelected="1" zoomScale="73" zoomScaleNormal="73" workbookViewId="0" topLeftCell="D34">
      <selection activeCell="A20" sqref="A20"/>
    </sheetView>
  </sheetViews>
  <sheetFormatPr defaultColWidth="9.140625" defaultRowHeight="15" customHeight="1"/>
  <cols>
    <col min="1" max="1" width="4.28125" style="224" customWidth="1"/>
    <col min="2" max="2" width="54.7109375" style="224" customWidth="1"/>
    <col min="3" max="3" width="11.140625" style="224" customWidth="1"/>
    <col min="4" max="5" width="11.7109375" style="224" customWidth="1"/>
    <col min="6" max="6" width="12.57421875" style="224" customWidth="1"/>
    <col min="7" max="7" width="9.8515625" style="224" customWidth="1"/>
    <col min="8" max="8" width="14.57421875" style="224" customWidth="1"/>
    <col min="9" max="9" width="9.28125" style="224" customWidth="1"/>
    <col min="10" max="10" width="10.28125" style="224" customWidth="1"/>
    <col min="11" max="11" width="9.421875" style="224" customWidth="1"/>
    <col min="12" max="12" width="11.28125" style="224" customWidth="1"/>
    <col min="13" max="13" width="9.421875" style="224" customWidth="1"/>
    <col min="14" max="14" width="11.140625" style="224" customWidth="1"/>
    <col min="15" max="15" width="9.140625" style="224" customWidth="1"/>
    <col min="16" max="16" width="10.7109375" style="224" customWidth="1"/>
    <col min="17" max="17" width="9.140625" style="224" customWidth="1"/>
    <col min="18" max="18" width="10.7109375" style="224" customWidth="1"/>
    <col min="19" max="19" width="16.00390625" style="224" customWidth="1"/>
    <col min="20" max="20" width="14.57421875" style="224" customWidth="1"/>
    <col min="21" max="21" width="9.140625" style="224" customWidth="1"/>
    <col min="22" max="22" width="12.140625" style="224" customWidth="1"/>
    <col min="23" max="23" width="8.57421875" style="224" customWidth="1"/>
    <col min="24" max="24" width="2.421875" style="224" customWidth="1"/>
    <col min="25" max="16384" width="9.140625" style="224" customWidth="1"/>
  </cols>
  <sheetData>
    <row r="1" spans="1:23" s="226" customFormat="1" ht="18" customHeight="1">
      <c r="A1" s="225" t="s">
        <v>604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1:23" s="226" customFormat="1" ht="17.25" customHeight="1">
      <c r="A2" s="227" t="s">
        <v>1</v>
      </c>
      <c r="B2" s="227" t="s">
        <v>605</v>
      </c>
      <c r="C2" s="227" t="s">
        <v>606</v>
      </c>
      <c r="D2" s="227" t="s">
        <v>607</v>
      </c>
      <c r="E2" s="227" t="s">
        <v>14</v>
      </c>
      <c r="F2" s="227"/>
      <c r="G2" s="227" t="s">
        <v>608</v>
      </c>
      <c r="H2" s="227"/>
      <c r="I2" s="227"/>
      <c r="J2" s="227"/>
      <c r="K2" s="227" t="s">
        <v>609</v>
      </c>
      <c r="L2" s="227"/>
      <c r="M2" s="227"/>
      <c r="N2" s="227"/>
      <c r="O2" s="227"/>
      <c r="P2" s="227"/>
      <c r="Q2" s="227"/>
      <c r="R2" s="227"/>
      <c r="S2" s="227" t="s">
        <v>610</v>
      </c>
      <c r="T2" s="227" t="s">
        <v>611</v>
      </c>
      <c r="U2" s="227" t="s">
        <v>612</v>
      </c>
      <c r="V2" s="227" t="s">
        <v>613</v>
      </c>
      <c r="W2" s="227" t="s">
        <v>83</v>
      </c>
    </row>
    <row r="3" spans="1:23" s="226" customFormat="1" ht="51.75" customHeight="1">
      <c r="A3" s="227"/>
      <c r="B3" s="227"/>
      <c r="C3" s="227"/>
      <c r="D3" s="227"/>
      <c r="E3" s="227" t="s">
        <v>614</v>
      </c>
      <c r="F3" s="227" t="s">
        <v>615</v>
      </c>
      <c r="G3" s="227" t="s">
        <v>616</v>
      </c>
      <c r="H3" s="227"/>
      <c r="I3" s="227" t="s">
        <v>617</v>
      </c>
      <c r="J3" s="227"/>
      <c r="K3" s="227" t="s">
        <v>618</v>
      </c>
      <c r="L3" s="227"/>
      <c r="M3" s="227" t="s">
        <v>619</v>
      </c>
      <c r="N3" s="227"/>
      <c r="O3" s="227" t="s">
        <v>620</v>
      </c>
      <c r="P3" s="227"/>
      <c r="Q3" s="227" t="s">
        <v>621</v>
      </c>
      <c r="R3" s="227"/>
      <c r="S3" s="227"/>
      <c r="T3" s="227"/>
      <c r="U3" s="227"/>
      <c r="V3" s="227"/>
      <c r="W3" s="227"/>
    </row>
    <row r="4" spans="1:23" s="226" customFormat="1" ht="39" customHeight="1">
      <c r="A4" s="227"/>
      <c r="B4" s="227"/>
      <c r="C4" s="227"/>
      <c r="D4" s="227"/>
      <c r="E4" s="227"/>
      <c r="F4" s="227"/>
      <c r="G4" s="227" t="s">
        <v>614</v>
      </c>
      <c r="H4" s="227" t="s">
        <v>615</v>
      </c>
      <c r="I4" s="227" t="s">
        <v>614</v>
      </c>
      <c r="J4" s="227" t="s">
        <v>615</v>
      </c>
      <c r="K4" s="227" t="s">
        <v>614</v>
      </c>
      <c r="L4" s="227" t="s">
        <v>615</v>
      </c>
      <c r="M4" s="227" t="s">
        <v>614</v>
      </c>
      <c r="N4" s="227" t="s">
        <v>615</v>
      </c>
      <c r="O4" s="227" t="s">
        <v>614</v>
      </c>
      <c r="P4" s="227" t="s">
        <v>615</v>
      </c>
      <c r="Q4" s="227" t="s">
        <v>614</v>
      </c>
      <c r="R4" s="227" t="s">
        <v>615</v>
      </c>
      <c r="S4" s="227"/>
      <c r="T4" s="227"/>
      <c r="U4" s="227"/>
      <c r="V4" s="227"/>
      <c r="W4" s="227"/>
    </row>
    <row r="5" spans="1:23" s="226" customFormat="1" ht="15" customHeight="1">
      <c r="A5" s="227">
        <v>1</v>
      </c>
      <c r="B5" s="227">
        <v>2</v>
      </c>
      <c r="C5" s="227">
        <v>3</v>
      </c>
      <c r="D5" s="227">
        <v>4</v>
      </c>
      <c r="E5" s="227" t="s">
        <v>622</v>
      </c>
      <c r="F5" s="227" t="s">
        <v>623</v>
      </c>
      <c r="G5" s="227">
        <v>7</v>
      </c>
      <c r="H5" s="227">
        <v>8</v>
      </c>
      <c r="I5" s="227">
        <v>9</v>
      </c>
      <c r="J5" s="227">
        <v>10</v>
      </c>
      <c r="K5" s="227">
        <v>11</v>
      </c>
      <c r="L5" s="227">
        <v>12</v>
      </c>
      <c r="M5" s="227">
        <v>13</v>
      </c>
      <c r="N5" s="227">
        <v>14</v>
      </c>
      <c r="O5" s="227">
        <v>15</v>
      </c>
      <c r="P5" s="227">
        <v>16</v>
      </c>
      <c r="Q5" s="227">
        <v>17</v>
      </c>
      <c r="R5" s="227">
        <v>18</v>
      </c>
      <c r="S5" s="227">
        <v>19</v>
      </c>
      <c r="T5" s="227">
        <v>20</v>
      </c>
      <c r="U5" s="227">
        <v>21</v>
      </c>
      <c r="V5" s="227">
        <v>22</v>
      </c>
      <c r="W5" s="227">
        <v>23</v>
      </c>
    </row>
    <row r="6" spans="1:23" s="229" customFormat="1" ht="16.5" customHeight="1">
      <c r="A6" s="228" t="s">
        <v>624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</row>
    <row r="7" spans="1:23" s="229" customFormat="1" ht="19.5" customHeight="1">
      <c r="A7" s="230">
        <v>1</v>
      </c>
      <c r="B7" s="231" t="s">
        <v>625</v>
      </c>
      <c r="C7" s="232" t="s">
        <v>626</v>
      </c>
      <c r="D7" s="221">
        <v>2558.742269892063</v>
      </c>
      <c r="E7" s="233">
        <v>8.24374</v>
      </c>
      <c r="F7" s="222">
        <v>21093.606</v>
      </c>
      <c r="G7" s="222">
        <f aca="true" t="shared" si="0" ref="G7:G13">E7</f>
        <v>8.24374</v>
      </c>
      <c r="H7" s="222">
        <f aca="true" t="shared" si="1" ref="H7:H13">F7</f>
        <v>21093.606</v>
      </c>
      <c r="I7" s="222"/>
      <c r="J7" s="222"/>
      <c r="K7" s="234">
        <f aca="true" t="shared" si="2" ref="K7:K10">E7/4</f>
        <v>2.060935</v>
      </c>
      <c r="L7" s="234">
        <f aca="true" t="shared" si="3" ref="L7:L10">F7/4</f>
        <v>5273.4015</v>
      </c>
      <c r="M7" s="234">
        <f aca="true" t="shared" si="4" ref="M7:M12">K7</f>
        <v>2.060935</v>
      </c>
      <c r="N7" s="235">
        <f aca="true" t="shared" si="5" ref="N7:N10">L7</f>
        <v>5273.4015</v>
      </c>
      <c r="O7" s="234">
        <f aca="true" t="shared" si="6" ref="O7:O12">M7</f>
        <v>2.060935</v>
      </c>
      <c r="P7" s="235">
        <f aca="true" t="shared" si="7" ref="P7:P10">N7</f>
        <v>5273.4015</v>
      </c>
      <c r="Q7" s="234">
        <f aca="true" t="shared" si="8" ref="Q7:Q10">O7</f>
        <v>2.060935</v>
      </c>
      <c r="R7" s="235">
        <f aca="true" t="shared" si="9" ref="R7:R10">P7</f>
        <v>5273.4015</v>
      </c>
      <c r="S7" s="236" t="s">
        <v>627</v>
      </c>
      <c r="T7" s="236"/>
      <c r="U7" s="230">
        <v>121</v>
      </c>
      <c r="V7" s="230"/>
      <c r="W7" s="237"/>
    </row>
    <row r="8" spans="1:23" s="239" customFormat="1" ht="35.25" customHeight="1">
      <c r="A8" s="230">
        <v>2</v>
      </c>
      <c r="B8" s="231" t="s">
        <v>628</v>
      </c>
      <c r="C8" s="232" t="s">
        <v>626</v>
      </c>
      <c r="D8" s="221">
        <f aca="true" t="shared" si="10" ref="D8:D10">F8/E8</f>
        <v>512.429457168164</v>
      </c>
      <c r="E8" s="238">
        <f>24.041-3.94-4.295</f>
        <v>15.806</v>
      </c>
      <c r="F8" s="222">
        <f>12171.003-1992.518-2079.025</f>
        <v>8099.460000000001</v>
      </c>
      <c r="G8" s="222">
        <f t="shared" si="0"/>
        <v>15.806</v>
      </c>
      <c r="H8" s="222">
        <f t="shared" si="1"/>
        <v>8099.460000000001</v>
      </c>
      <c r="I8" s="222"/>
      <c r="J8" s="222"/>
      <c r="K8" s="234">
        <f t="shared" si="2"/>
        <v>3.9515</v>
      </c>
      <c r="L8" s="234">
        <f t="shared" si="3"/>
        <v>2024.8650000000002</v>
      </c>
      <c r="M8" s="234">
        <f t="shared" si="4"/>
        <v>3.9515</v>
      </c>
      <c r="N8" s="235">
        <f t="shared" si="5"/>
        <v>2024.8650000000002</v>
      </c>
      <c r="O8" s="234">
        <f t="shared" si="6"/>
        <v>3.9515</v>
      </c>
      <c r="P8" s="235">
        <f t="shared" si="7"/>
        <v>2024.8650000000002</v>
      </c>
      <c r="Q8" s="234">
        <f t="shared" si="8"/>
        <v>3.9515</v>
      </c>
      <c r="R8" s="235">
        <f t="shared" si="9"/>
        <v>2024.8650000000002</v>
      </c>
      <c r="S8" s="236" t="s">
        <v>627</v>
      </c>
      <c r="T8" s="236"/>
      <c r="U8" s="230">
        <v>122</v>
      </c>
      <c r="V8" s="230"/>
      <c r="W8" s="237"/>
    </row>
    <row r="9" spans="1:23" s="239" customFormat="1" ht="19.5" customHeight="1">
      <c r="A9" s="230">
        <v>3</v>
      </c>
      <c r="B9" s="231" t="s">
        <v>629</v>
      </c>
      <c r="C9" s="236" t="s">
        <v>626</v>
      </c>
      <c r="D9" s="221">
        <f t="shared" si="10"/>
        <v>1418.2066014669929</v>
      </c>
      <c r="E9" s="222">
        <f>2.363-0.618-0.35-0.345-0.232</f>
        <v>0.8180000000000001</v>
      </c>
      <c r="F9" s="222">
        <f>3211.143-931.533-453.117-427.415-238.985</f>
        <v>1160.0930000000003</v>
      </c>
      <c r="G9" s="222">
        <f t="shared" si="0"/>
        <v>0.8180000000000001</v>
      </c>
      <c r="H9" s="222">
        <f t="shared" si="1"/>
        <v>1160.0930000000003</v>
      </c>
      <c r="I9" s="222"/>
      <c r="J9" s="222"/>
      <c r="K9" s="234">
        <f t="shared" si="2"/>
        <v>0.20450000000000002</v>
      </c>
      <c r="L9" s="234">
        <f t="shared" si="3"/>
        <v>290.0232500000001</v>
      </c>
      <c r="M9" s="234">
        <f t="shared" si="4"/>
        <v>0.20450000000000002</v>
      </c>
      <c r="N9" s="235">
        <f t="shared" si="5"/>
        <v>290.0232500000001</v>
      </c>
      <c r="O9" s="234">
        <f t="shared" si="6"/>
        <v>0.20450000000000002</v>
      </c>
      <c r="P9" s="235">
        <f t="shared" si="7"/>
        <v>290.0232500000001</v>
      </c>
      <c r="Q9" s="234">
        <f t="shared" si="8"/>
        <v>0.20450000000000002</v>
      </c>
      <c r="R9" s="235">
        <f t="shared" si="9"/>
        <v>290.0232500000001</v>
      </c>
      <c r="S9" s="236" t="s">
        <v>627</v>
      </c>
      <c r="T9" s="236"/>
      <c r="U9" s="230">
        <v>126</v>
      </c>
      <c r="V9" s="230"/>
      <c r="W9" s="230"/>
    </row>
    <row r="10" spans="1:23" s="239" customFormat="1" ht="19.5" customHeight="1">
      <c r="A10" s="230">
        <v>4</v>
      </c>
      <c r="B10" s="240" t="s">
        <v>630</v>
      </c>
      <c r="C10" s="241" t="s">
        <v>626</v>
      </c>
      <c r="D10" s="242">
        <f t="shared" si="10"/>
        <v>1044.6030769230772</v>
      </c>
      <c r="E10" s="243">
        <f>1.873-0.095-0.242-0.144-0.311-0.205-0.144-0.082</f>
        <v>0.6499999999999999</v>
      </c>
      <c r="F10" s="243">
        <f>2081.793-249.542-358.137-175.323-240.595-177.074-92.88-109.25</f>
        <v>678.9920000000001</v>
      </c>
      <c r="G10" s="243">
        <f t="shared" si="0"/>
        <v>0.6499999999999999</v>
      </c>
      <c r="H10" s="243">
        <f t="shared" si="1"/>
        <v>678.9920000000001</v>
      </c>
      <c r="I10" s="243"/>
      <c r="J10" s="243"/>
      <c r="K10" s="244">
        <f t="shared" si="2"/>
        <v>0.16249999999999998</v>
      </c>
      <c r="L10" s="234">
        <f t="shared" si="3"/>
        <v>169.74800000000002</v>
      </c>
      <c r="M10" s="234">
        <f t="shared" si="4"/>
        <v>0.16249999999999998</v>
      </c>
      <c r="N10" s="235">
        <f t="shared" si="5"/>
        <v>169.74800000000002</v>
      </c>
      <c r="O10" s="234">
        <f t="shared" si="6"/>
        <v>0.16249999999999998</v>
      </c>
      <c r="P10" s="235">
        <f t="shared" si="7"/>
        <v>169.74800000000002</v>
      </c>
      <c r="Q10" s="234">
        <f t="shared" si="8"/>
        <v>0.16249999999999998</v>
      </c>
      <c r="R10" s="235">
        <f t="shared" si="9"/>
        <v>169.74800000000002</v>
      </c>
      <c r="S10" s="236" t="s">
        <v>627</v>
      </c>
      <c r="T10" s="236"/>
      <c r="U10" s="230">
        <v>129</v>
      </c>
      <c r="V10" s="230"/>
      <c r="W10" s="237"/>
    </row>
    <row r="11" spans="1:23" s="248" customFormat="1" ht="67.5" customHeight="1">
      <c r="A11" s="230">
        <v>5</v>
      </c>
      <c r="B11" s="245" t="s">
        <v>139</v>
      </c>
      <c r="C11" s="241" t="s">
        <v>631</v>
      </c>
      <c r="D11" s="246">
        <v>0.7010000000000001</v>
      </c>
      <c r="E11" s="243">
        <v>1455</v>
      </c>
      <c r="F11" s="243">
        <v>1018.989</v>
      </c>
      <c r="G11" s="243">
        <f t="shared" si="0"/>
        <v>1455</v>
      </c>
      <c r="H11" s="243">
        <f t="shared" si="1"/>
        <v>1018.989</v>
      </c>
      <c r="I11" s="243"/>
      <c r="J11" s="243"/>
      <c r="K11" s="244">
        <v>364</v>
      </c>
      <c r="L11" s="234">
        <v>254.92233402061856</v>
      </c>
      <c r="M11" s="234">
        <f t="shared" si="4"/>
        <v>364</v>
      </c>
      <c r="N11" s="234">
        <v>254.92233402061856</v>
      </c>
      <c r="O11" s="234">
        <f t="shared" si="6"/>
        <v>364</v>
      </c>
      <c r="P11" s="235">
        <v>254.92233402061856</v>
      </c>
      <c r="Q11" s="234">
        <v>363</v>
      </c>
      <c r="R11" s="235">
        <f>Q11*0.7003</f>
        <v>254.2089</v>
      </c>
      <c r="S11" s="236" t="s">
        <v>627</v>
      </c>
      <c r="T11" s="236"/>
      <c r="U11" s="230">
        <v>130</v>
      </c>
      <c r="V11" s="230"/>
      <c r="W11" s="247"/>
    </row>
    <row r="12" spans="1:23" s="248" customFormat="1" ht="66.75" customHeight="1">
      <c r="A12" s="230">
        <v>6</v>
      </c>
      <c r="B12" s="245" t="s">
        <v>142</v>
      </c>
      <c r="C12" s="241" t="s">
        <v>631</v>
      </c>
      <c r="D12" s="246">
        <v>1.21353</v>
      </c>
      <c r="E12" s="243">
        <v>200</v>
      </c>
      <c r="F12" s="243">
        <v>242.706</v>
      </c>
      <c r="G12" s="243">
        <f t="shared" si="0"/>
        <v>200</v>
      </c>
      <c r="H12" s="243">
        <f t="shared" si="1"/>
        <v>242.706</v>
      </c>
      <c r="I12" s="243"/>
      <c r="J12" s="243"/>
      <c r="K12" s="244">
        <f>E12/4</f>
        <v>50</v>
      </c>
      <c r="L12" s="234">
        <f>F12/4</f>
        <v>60.6765</v>
      </c>
      <c r="M12" s="234">
        <f t="shared" si="4"/>
        <v>50</v>
      </c>
      <c r="N12" s="235">
        <f>L12</f>
        <v>60.6765</v>
      </c>
      <c r="O12" s="234">
        <f t="shared" si="6"/>
        <v>50</v>
      </c>
      <c r="P12" s="235">
        <f>N12</f>
        <v>60.6765</v>
      </c>
      <c r="Q12" s="234">
        <f>O12</f>
        <v>50</v>
      </c>
      <c r="R12" s="235">
        <f>P12</f>
        <v>60.6765</v>
      </c>
      <c r="S12" s="236" t="s">
        <v>627</v>
      </c>
      <c r="T12" s="236"/>
      <c r="U12" s="230">
        <v>131</v>
      </c>
      <c r="V12" s="230"/>
      <c r="W12" s="247"/>
    </row>
    <row r="13" spans="1:23" s="239" customFormat="1" ht="19.5" customHeight="1">
      <c r="A13" s="230">
        <v>7</v>
      </c>
      <c r="B13" s="240" t="s">
        <v>632</v>
      </c>
      <c r="C13" s="241" t="s">
        <v>631</v>
      </c>
      <c r="D13" s="249">
        <f>F13/E13</f>
        <v>78.98074999999999</v>
      </c>
      <c r="E13" s="242">
        <f>50-22</f>
        <v>28</v>
      </c>
      <c r="F13" s="243">
        <f>4344.816-2133.355</f>
        <v>2211.461</v>
      </c>
      <c r="G13" s="243">
        <f t="shared" si="0"/>
        <v>28</v>
      </c>
      <c r="H13" s="243">
        <f t="shared" si="1"/>
        <v>2211.461</v>
      </c>
      <c r="I13" s="243"/>
      <c r="J13" s="243"/>
      <c r="K13" s="234">
        <v>7</v>
      </c>
      <c r="L13" s="235">
        <f>D13*K13</f>
        <v>552.86525</v>
      </c>
      <c r="M13" s="234">
        <v>7</v>
      </c>
      <c r="N13" s="235">
        <f>M13*D13</f>
        <v>552.86525</v>
      </c>
      <c r="O13" s="234">
        <v>7</v>
      </c>
      <c r="P13" s="235">
        <f>O13*D13</f>
        <v>552.86525</v>
      </c>
      <c r="Q13" s="235">
        <v>7</v>
      </c>
      <c r="R13" s="235">
        <f>Q13*D13</f>
        <v>552.86525</v>
      </c>
      <c r="S13" s="236" t="s">
        <v>627</v>
      </c>
      <c r="T13" s="236"/>
      <c r="U13" s="230">
        <v>132</v>
      </c>
      <c r="V13" s="230"/>
      <c r="W13" s="237"/>
    </row>
    <row r="14" spans="1:23" s="239" customFormat="1" ht="30.75" customHeight="1">
      <c r="A14" s="230">
        <v>8</v>
      </c>
      <c r="B14" s="250" t="s">
        <v>191</v>
      </c>
      <c r="C14" s="241" t="s">
        <v>633</v>
      </c>
      <c r="D14" s="251">
        <v>61145</v>
      </c>
      <c r="E14" s="251">
        <v>1</v>
      </c>
      <c r="F14" s="251">
        <v>61145</v>
      </c>
      <c r="G14" s="251">
        <v>1</v>
      </c>
      <c r="H14" s="251">
        <v>61145</v>
      </c>
      <c r="I14" s="243"/>
      <c r="J14" s="243"/>
      <c r="K14" s="199"/>
      <c r="L14" s="234">
        <f>F14/4</f>
        <v>15286.25</v>
      </c>
      <c r="M14" s="234"/>
      <c r="N14" s="234">
        <f>F14/4</f>
        <v>15286.25</v>
      </c>
      <c r="O14" s="234"/>
      <c r="P14" s="234">
        <f>F14/4</f>
        <v>15286.25</v>
      </c>
      <c r="Q14" s="235"/>
      <c r="R14" s="234">
        <f>F14/4</f>
        <v>15286.25</v>
      </c>
      <c r="S14" s="252" t="s">
        <v>634</v>
      </c>
      <c r="T14" s="236"/>
      <c r="U14" s="230">
        <v>137</v>
      </c>
      <c r="V14" s="230"/>
      <c r="W14" s="237"/>
    </row>
    <row r="15" spans="1:23" s="239" customFormat="1" ht="35.25" customHeight="1">
      <c r="A15" s="230">
        <v>9</v>
      </c>
      <c r="B15" s="240" t="s">
        <v>221</v>
      </c>
      <c r="C15" s="241" t="s">
        <v>633</v>
      </c>
      <c r="D15" s="242">
        <v>170.9</v>
      </c>
      <c r="E15" s="243">
        <v>1</v>
      </c>
      <c r="F15" s="243">
        <f>D15*E15</f>
        <v>170.9</v>
      </c>
      <c r="G15" s="243">
        <f>E15</f>
        <v>1</v>
      </c>
      <c r="H15" s="243">
        <f>F15</f>
        <v>170.9</v>
      </c>
      <c r="I15" s="243"/>
      <c r="J15" s="243"/>
      <c r="K15" s="253"/>
      <c r="L15" s="222"/>
      <c r="M15" s="235">
        <v>1</v>
      </c>
      <c r="N15" s="235">
        <f>F15</f>
        <v>170.9</v>
      </c>
      <c r="O15" s="235"/>
      <c r="P15" s="235"/>
      <c r="Q15" s="235"/>
      <c r="R15" s="235"/>
      <c r="S15" s="236" t="s">
        <v>635</v>
      </c>
      <c r="T15" s="236"/>
      <c r="U15" s="230">
        <v>140</v>
      </c>
      <c r="V15" s="230"/>
      <c r="W15" s="237"/>
    </row>
    <row r="16" spans="1:23" s="239" customFormat="1" ht="53.25" customHeight="1">
      <c r="A16" s="230">
        <v>10</v>
      </c>
      <c r="B16" s="254" t="s">
        <v>636</v>
      </c>
      <c r="C16" s="255" t="s">
        <v>633</v>
      </c>
      <c r="D16" s="256">
        <v>2630.82</v>
      </c>
      <c r="E16" s="243">
        <v>1</v>
      </c>
      <c r="F16" s="256">
        <v>2630.82</v>
      </c>
      <c r="G16" s="243">
        <v>1</v>
      </c>
      <c r="H16" s="256">
        <v>2630.82</v>
      </c>
      <c r="I16" s="243"/>
      <c r="J16" s="243"/>
      <c r="K16" s="243"/>
      <c r="L16" s="256"/>
      <c r="M16" s="235"/>
      <c r="N16" s="235">
        <v>749.08</v>
      </c>
      <c r="O16" s="235"/>
      <c r="P16" s="235">
        <v>1123.62</v>
      </c>
      <c r="Q16" s="235"/>
      <c r="R16" s="235">
        <v>758.12</v>
      </c>
      <c r="S16" s="236" t="s">
        <v>635</v>
      </c>
      <c r="T16" s="236"/>
      <c r="U16" s="230">
        <v>141</v>
      </c>
      <c r="V16" s="230"/>
      <c r="W16" s="237"/>
    </row>
    <row r="17" spans="1:23" s="248" customFormat="1" ht="66" customHeight="1">
      <c r="A17" s="230">
        <v>11</v>
      </c>
      <c r="B17" s="257" t="s">
        <v>195</v>
      </c>
      <c r="C17" s="241" t="s">
        <v>633</v>
      </c>
      <c r="D17" s="242">
        <v>274.072</v>
      </c>
      <c r="E17" s="243">
        <v>1</v>
      </c>
      <c r="F17" s="242">
        <f aca="true" t="shared" si="11" ref="F17:F18">D17*E17</f>
        <v>274.072</v>
      </c>
      <c r="G17" s="243">
        <f aca="true" t="shared" si="12" ref="G17:G24">E17</f>
        <v>1</v>
      </c>
      <c r="H17" s="243">
        <f aca="true" t="shared" si="13" ref="H17:H24">F17</f>
        <v>274.072</v>
      </c>
      <c r="I17" s="242"/>
      <c r="J17" s="242"/>
      <c r="K17" s="243">
        <v>1</v>
      </c>
      <c r="L17" s="221">
        <f aca="true" t="shared" si="14" ref="L17:L18">F17</f>
        <v>274.072</v>
      </c>
      <c r="M17" s="235"/>
      <c r="N17" s="222"/>
      <c r="O17" s="235"/>
      <c r="P17" s="222"/>
      <c r="Q17" s="235"/>
      <c r="R17" s="235"/>
      <c r="S17" s="236" t="s">
        <v>635</v>
      </c>
      <c r="T17" s="236"/>
      <c r="U17" s="230">
        <v>147</v>
      </c>
      <c r="V17" s="230"/>
      <c r="W17" s="236"/>
    </row>
    <row r="18" spans="1:23" s="248" customFormat="1" ht="51.75" customHeight="1">
      <c r="A18" s="230">
        <v>12</v>
      </c>
      <c r="B18" s="257" t="s">
        <v>198</v>
      </c>
      <c r="C18" s="241" t="s">
        <v>633</v>
      </c>
      <c r="D18" s="242">
        <v>260.35</v>
      </c>
      <c r="E18" s="243">
        <v>1</v>
      </c>
      <c r="F18" s="242">
        <f t="shared" si="11"/>
        <v>260.35</v>
      </c>
      <c r="G18" s="243">
        <f t="shared" si="12"/>
        <v>1</v>
      </c>
      <c r="H18" s="243">
        <f t="shared" si="13"/>
        <v>260.35</v>
      </c>
      <c r="I18" s="242"/>
      <c r="J18" s="242"/>
      <c r="K18" s="243">
        <v>1</v>
      </c>
      <c r="L18" s="221">
        <f t="shared" si="14"/>
        <v>260.35</v>
      </c>
      <c r="M18" s="235"/>
      <c r="N18" s="222"/>
      <c r="O18" s="235"/>
      <c r="P18" s="222"/>
      <c r="Q18" s="235"/>
      <c r="R18" s="235"/>
      <c r="S18" s="258" t="s">
        <v>637</v>
      </c>
      <c r="T18" s="236"/>
      <c r="U18" s="230">
        <v>148</v>
      </c>
      <c r="V18" s="230"/>
      <c r="W18" s="236"/>
    </row>
    <row r="19" spans="1:23" s="248" customFormat="1" ht="51" customHeight="1">
      <c r="A19" s="230">
        <v>13</v>
      </c>
      <c r="B19" s="257" t="s">
        <v>638</v>
      </c>
      <c r="C19" s="241" t="s">
        <v>633</v>
      </c>
      <c r="D19" s="242">
        <v>176.68</v>
      </c>
      <c r="E19" s="243">
        <v>1</v>
      </c>
      <c r="F19" s="242">
        <v>176.68</v>
      </c>
      <c r="G19" s="243">
        <f t="shared" si="12"/>
        <v>1</v>
      </c>
      <c r="H19" s="243">
        <f t="shared" si="13"/>
        <v>176.68</v>
      </c>
      <c r="I19" s="242"/>
      <c r="J19" s="242"/>
      <c r="K19" s="253"/>
      <c r="L19" s="222"/>
      <c r="M19" s="235"/>
      <c r="N19" s="222"/>
      <c r="O19" s="235"/>
      <c r="P19" s="222"/>
      <c r="Q19" s="222">
        <v>1</v>
      </c>
      <c r="R19" s="221">
        <f>F19</f>
        <v>176.68</v>
      </c>
      <c r="S19" s="236" t="s">
        <v>639</v>
      </c>
      <c r="T19" s="236"/>
      <c r="U19" s="230">
        <v>149</v>
      </c>
      <c r="V19" s="230"/>
      <c r="W19" s="236"/>
    </row>
    <row r="20" spans="1:23" s="248" customFormat="1" ht="67.5" customHeight="1">
      <c r="A20" s="230">
        <v>14</v>
      </c>
      <c r="B20" s="257" t="s">
        <v>201</v>
      </c>
      <c r="C20" s="241" t="s">
        <v>633</v>
      </c>
      <c r="D20" s="242">
        <v>264.49</v>
      </c>
      <c r="E20" s="243">
        <v>1</v>
      </c>
      <c r="F20" s="242">
        <v>264.49</v>
      </c>
      <c r="G20" s="243">
        <f t="shared" si="12"/>
        <v>1</v>
      </c>
      <c r="H20" s="243">
        <f t="shared" si="13"/>
        <v>264.49</v>
      </c>
      <c r="I20" s="242"/>
      <c r="J20" s="242"/>
      <c r="K20" s="253"/>
      <c r="L20" s="222"/>
      <c r="M20" s="235"/>
      <c r="N20" s="222"/>
      <c r="O20" s="222">
        <v>1</v>
      </c>
      <c r="P20" s="221">
        <f>F20</f>
        <v>264.49</v>
      </c>
      <c r="Q20" s="235"/>
      <c r="R20" s="235"/>
      <c r="S20" s="236" t="s">
        <v>639</v>
      </c>
      <c r="T20" s="236"/>
      <c r="U20" s="230">
        <v>150</v>
      </c>
      <c r="V20" s="230"/>
      <c r="W20" s="236"/>
    </row>
    <row r="21" spans="1:23" s="248" customFormat="1" ht="67.5" customHeight="1">
      <c r="A21" s="230">
        <v>15</v>
      </c>
      <c r="B21" s="259" t="s">
        <v>204</v>
      </c>
      <c r="C21" s="241" t="s">
        <v>633</v>
      </c>
      <c r="D21" s="242">
        <v>67.814</v>
      </c>
      <c r="E21" s="243">
        <v>1</v>
      </c>
      <c r="F21" s="242">
        <f aca="true" t="shared" si="15" ref="F21:F23">D21*E21</f>
        <v>67.814</v>
      </c>
      <c r="G21" s="243">
        <f t="shared" si="12"/>
        <v>1</v>
      </c>
      <c r="H21" s="243">
        <f t="shared" si="13"/>
        <v>67.814</v>
      </c>
      <c r="I21" s="242"/>
      <c r="J21" s="242"/>
      <c r="K21" s="253"/>
      <c r="L21" s="222"/>
      <c r="M21" s="222">
        <v>1</v>
      </c>
      <c r="N21" s="221">
        <f>F21</f>
        <v>67.814</v>
      </c>
      <c r="O21" s="222"/>
      <c r="P21" s="221"/>
      <c r="Q21" s="235"/>
      <c r="R21" s="235"/>
      <c r="S21" s="236" t="s">
        <v>639</v>
      </c>
      <c r="T21" s="236"/>
      <c r="U21" s="230">
        <v>151</v>
      </c>
      <c r="V21" s="230"/>
      <c r="W21" s="236"/>
    </row>
    <row r="22" spans="1:23" s="248" customFormat="1" ht="82.5" customHeight="1">
      <c r="A22" s="230">
        <v>16</v>
      </c>
      <c r="B22" s="259" t="s">
        <v>207</v>
      </c>
      <c r="C22" s="241" t="s">
        <v>633</v>
      </c>
      <c r="D22" s="242">
        <v>201.49</v>
      </c>
      <c r="E22" s="243">
        <v>1</v>
      </c>
      <c r="F22" s="242">
        <f t="shared" si="15"/>
        <v>201.49</v>
      </c>
      <c r="G22" s="243">
        <f t="shared" si="12"/>
        <v>1</v>
      </c>
      <c r="H22" s="243">
        <f t="shared" si="13"/>
        <v>201.49</v>
      </c>
      <c r="I22" s="242"/>
      <c r="J22" s="242"/>
      <c r="K22" s="253"/>
      <c r="L22" s="222"/>
      <c r="M22" s="235"/>
      <c r="N22" s="222"/>
      <c r="O22" s="222">
        <v>1</v>
      </c>
      <c r="P22" s="221">
        <f>F22</f>
        <v>201.49</v>
      </c>
      <c r="Q22" s="235"/>
      <c r="R22" s="235"/>
      <c r="S22" s="236" t="s">
        <v>639</v>
      </c>
      <c r="T22" s="236"/>
      <c r="U22" s="230">
        <v>152</v>
      </c>
      <c r="V22" s="230"/>
      <c r="W22" s="236"/>
    </row>
    <row r="23" spans="1:23" s="248" customFormat="1" ht="51.75" customHeight="1">
      <c r="A23" s="230">
        <v>17</v>
      </c>
      <c r="B23" s="259" t="s">
        <v>210</v>
      </c>
      <c r="C23" s="241" t="s">
        <v>633</v>
      </c>
      <c r="D23" s="242">
        <v>45.11</v>
      </c>
      <c r="E23" s="243">
        <v>1</v>
      </c>
      <c r="F23" s="242">
        <f t="shared" si="15"/>
        <v>45.11</v>
      </c>
      <c r="G23" s="243">
        <f t="shared" si="12"/>
        <v>1</v>
      </c>
      <c r="H23" s="243">
        <f t="shared" si="13"/>
        <v>45.11</v>
      </c>
      <c r="I23" s="242"/>
      <c r="J23" s="242"/>
      <c r="K23" s="243">
        <v>1</v>
      </c>
      <c r="L23" s="221">
        <f>F23</f>
        <v>45.11</v>
      </c>
      <c r="M23" s="235"/>
      <c r="N23" s="222"/>
      <c r="O23" s="235"/>
      <c r="P23" s="222"/>
      <c r="Q23" s="235"/>
      <c r="R23" s="235"/>
      <c r="S23" s="236" t="s">
        <v>639</v>
      </c>
      <c r="T23" s="236"/>
      <c r="U23" s="230">
        <v>153</v>
      </c>
      <c r="V23" s="230"/>
      <c r="W23" s="236"/>
    </row>
    <row r="24" spans="1:23" s="239" customFormat="1" ht="19.5" customHeight="1">
      <c r="A24" s="230">
        <v>18</v>
      </c>
      <c r="B24" s="245" t="s">
        <v>385</v>
      </c>
      <c r="C24" s="241"/>
      <c r="D24" s="243"/>
      <c r="E24" s="243"/>
      <c r="F24" s="260">
        <f>736.683-261.121</f>
        <v>475.562</v>
      </c>
      <c r="G24" s="243">
        <f t="shared" si="12"/>
        <v>0</v>
      </c>
      <c r="H24" s="243">
        <f t="shared" si="13"/>
        <v>475.562</v>
      </c>
      <c r="I24" s="261"/>
      <c r="J24" s="261"/>
      <c r="K24" s="253"/>
      <c r="L24" s="262">
        <f>F24/4</f>
        <v>118.8905</v>
      </c>
      <c r="M24" s="235"/>
      <c r="N24" s="262">
        <f>F24/4</f>
        <v>118.8905</v>
      </c>
      <c r="O24" s="235"/>
      <c r="P24" s="235">
        <f>F24/4</f>
        <v>118.8905</v>
      </c>
      <c r="Q24" s="235"/>
      <c r="R24" s="235">
        <f>F24/4</f>
        <v>118.8905</v>
      </c>
      <c r="S24" s="236" t="s">
        <v>639</v>
      </c>
      <c r="T24" s="236"/>
      <c r="U24" s="230">
        <v>157</v>
      </c>
      <c r="V24" s="230"/>
      <c r="W24" s="237"/>
    </row>
    <row r="25" spans="1:23" s="229" customFormat="1" ht="15.75" customHeight="1">
      <c r="A25" s="263" t="s">
        <v>640</v>
      </c>
      <c r="B25" s="263"/>
      <c r="C25" s="263"/>
      <c r="D25" s="263"/>
      <c r="E25" s="263"/>
      <c r="F25" s="264">
        <f>SUM(F7:F24)</f>
        <v>100217.59500000002</v>
      </c>
      <c r="G25" s="264"/>
      <c r="H25" s="264">
        <f>SUM(H7:H24)</f>
        <v>100217.59500000002</v>
      </c>
      <c r="I25" s="264"/>
      <c r="J25" s="264">
        <f>SUM(J7:J24)</f>
        <v>0</v>
      </c>
      <c r="K25" s="264"/>
      <c r="L25" s="264">
        <f>SUM(L7:L24)</f>
        <v>24611.17433402062</v>
      </c>
      <c r="M25" s="264"/>
      <c r="N25" s="264">
        <f>SUM(N7:N24)</f>
        <v>25019.436334020622</v>
      </c>
      <c r="O25" s="264"/>
      <c r="P25" s="264">
        <f>SUM(P7:P24)</f>
        <v>25621.242334020622</v>
      </c>
      <c r="Q25" s="264"/>
      <c r="R25" s="264">
        <f>SUM(R7:R24)</f>
        <v>24965.728900000002</v>
      </c>
      <c r="S25" s="265"/>
      <c r="T25" s="265"/>
      <c r="U25" s="265"/>
      <c r="V25" s="265"/>
      <c r="W25" s="266">
        <f>F25/F70</f>
        <v>0.8850955282717986</v>
      </c>
    </row>
    <row r="26" spans="1:23" s="229" customFormat="1" ht="18.75" customHeight="1">
      <c r="A26" s="228" t="s">
        <v>641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</row>
    <row r="27" spans="1:23" s="278" customFormat="1" ht="50.25" customHeight="1">
      <c r="A27" s="267">
        <v>1</v>
      </c>
      <c r="B27" s="217" t="s">
        <v>642</v>
      </c>
      <c r="C27" s="268" t="s">
        <v>631</v>
      </c>
      <c r="D27" s="269">
        <v>0.3</v>
      </c>
      <c r="E27" s="270">
        <v>9000</v>
      </c>
      <c r="F27" s="271">
        <f aca="true" t="shared" si="16" ref="F27:F32">D27*E27</f>
        <v>2700</v>
      </c>
      <c r="G27" s="271">
        <f>E27-I27</f>
        <v>6397</v>
      </c>
      <c r="H27" s="271">
        <f>F27-J27</f>
        <v>1919</v>
      </c>
      <c r="I27" s="271">
        <v>2603</v>
      </c>
      <c r="J27" s="271">
        <v>781</v>
      </c>
      <c r="K27" s="272">
        <f aca="true" t="shared" si="17" ref="K27:K28">E27/4</f>
        <v>2250</v>
      </c>
      <c r="L27" s="273">
        <f aca="true" t="shared" si="18" ref="L27:L28">F27/4</f>
        <v>675</v>
      </c>
      <c r="M27" s="272">
        <f aca="true" t="shared" si="19" ref="M27:M28">K27</f>
        <v>2250</v>
      </c>
      <c r="N27" s="274">
        <f aca="true" t="shared" si="20" ref="N27:N28">L27</f>
        <v>675</v>
      </c>
      <c r="O27" s="272">
        <f aca="true" t="shared" si="21" ref="O27:O28">M27</f>
        <v>2250</v>
      </c>
      <c r="P27" s="274">
        <f aca="true" t="shared" si="22" ref="P27:P28">N27</f>
        <v>675</v>
      </c>
      <c r="Q27" s="272">
        <f aca="true" t="shared" si="23" ref="Q27:Q28">O27</f>
        <v>2250</v>
      </c>
      <c r="R27" s="274">
        <f aca="true" t="shared" si="24" ref="R27:R28">P27</f>
        <v>675</v>
      </c>
      <c r="S27" s="236" t="s">
        <v>639</v>
      </c>
      <c r="T27" s="275"/>
      <c r="U27" s="267">
        <v>157</v>
      </c>
      <c r="V27" s="276"/>
      <c r="W27" s="277"/>
    </row>
    <row r="28" spans="1:23" s="278" customFormat="1" ht="34.5" customHeight="1">
      <c r="A28" s="267">
        <v>2</v>
      </c>
      <c r="B28" s="217" t="s">
        <v>643</v>
      </c>
      <c r="C28" s="268" t="s">
        <v>631</v>
      </c>
      <c r="D28" s="269">
        <v>2.55</v>
      </c>
      <c r="E28" s="270">
        <v>100</v>
      </c>
      <c r="F28" s="271">
        <f t="shared" si="16"/>
        <v>254.99999999999997</v>
      </c>
      <c r="G28" s="222">
        <f>E28</f>
        <v>100</v>
      </c>
      <c r="H28" s="222">
        <f>F28</f>
        <v>254.99999999999997</v>
      </c>
      <c r="I28" s="271"/>
      <c r="J28" s="271"/>
      <c r="K28" s="272">
        <f t="shared" si="17"/>
        <v>25</v>
      </c>
      <c r="L28" s="273">
        <f t="shared" si="18"/>
        <v>63.74999999999999</v>
      </c>
      <c r="M28" s="272">
        <f t="shared" si="19"/>
        <v>25</v>
      </c>
      <c r="N28" s="274">
        <f t="shared" si="20"/>
        <v>63.74999999999999</v>
      </c>
      <c r="O28" s="272">
        <f t="shared" si="21"/>
        <v>25</v>
      </c>
      <c r="P28" s="274">
        <f t="shared" si="22"/>
        <v>63.74999999999999</v>
      </c>
      <c r="Q28" s="272">
        <f t="shared" si="23"/>
        <v>25</v>
      </c>
      <c r="R28" s="274">
        <f t="shared" si="24"/>
        <v>63.74999999999999</v>
      </c>
      <c r="S28" s="236" t="s">
        <v>639</v>
      </c>
      <c r="T28" s="275"/>
      <c r="U28" s="267">
        <v>157</v>
      </c>
      <c r="V28" s="276"/>
      <c r="W28" s="279"/>
    </row>
    <row r="29" spans="1:23" s="278" customFormat="1" ht="34.5" customHeight="1">
      <c r="A29" s="267">
        <v>3</v>
      </c>
      <c r="B29" s="217" t="s">
        <v>644</v>
      </c>
      <c r="C29" s="268" t="s">
        <v>631</v>
      </c>
      <c r="D29" s="269">
        <v>1.05</v>
      </c>
      <c r="E29" s="270">
        <v>200</v>
      </c>
      <c r="F29" s="271">
        <f t="shared" si="16"/>
        <v>210</v>
      </c>
      <c r="G29" s="222">
        <v>200</v>
      </c>
      <c r="H29" s="222">
        <v>210</v>
      </c>
      <c r="I29" s="271"/>
      <c r="J29" s="271"/>
      <c r="K29" s="272">
        <f>E29</f>
        <v>200</v>
      </c>
      <c r="L29" s="273">
        <f>F29</f>
        <v>210</v>
      </c>
      <c r="M29" s="272"/>
      <c r="N29" s="274"/>
      <c r="O29" s="272"/>
      <c r="P29" s="274"/>
      <c r="Q29" s="272"/>
      <c r="R29" s="274"/>
      <c r="S29" s="236" t="s">
        <v>639</v>
      </c>
      <c r="T29" s="275"/>
      <c r="U29" s="267">
        <v>157</v>
      </c>
      <c r="V29" s="276"/>
      <c r="W29" s="279"/>
    </row>
    <row r="30" spans="1:23" s="278" customFormat="1" ht="19.5" customHeight="1">
      <c r="A30" s="267">
        <v>4</v>
      </c>
      <c r="B30" s="280" t="s">
        <v>645</v>
      </c>
      <c r="C30" s="268" t="s">
        <v>631</v>
      </c>
      <c r="D30" s="281">
        <v>197.2</v>
      </c>
      <c r="E30" s="270">
        <v>2</v>
      </c>
      <c r="F30" s="271">
        <f t="shared" si="16"/>
        <v>394.4</v>
      </c>
      <c r="G30" s="222">
        <f aca="true" t="shared" si="25" ref="G30:G32">E30</f>
        <v>2</v>
      </c>
      <c r="H30" s="222">
        <f aca="true" t="shared" si="26" ref="H30:H32">F30</f>
        <v>394.4</v>
      </c>
      <c r="I30" s="271"/>
      <c r="J30" s="271"/>
      <c r="K30" s="272">
        <v>1</v>
      </c>
      <c r="L30" s="273">
        <f>F30/2</f>
        <v>197.2</v>
      </c>
      <c r="M30" s="272"/>
      <c r="N30" s="274"/>
      <c r="O30" s="272">
        <v>1</v>
      </c>
      <c r="P30" s="274">
        <f>F30/2</f>
        <v>197.2</v>
      </c>
      <c r="Q30" s="272"/>
      <c r="R30" s="274"/>
      <c r="S30" s="236" t="s">
        <v>639</v>
      </c>
      <c r="T30" s="275"/>
      <c r="U30" s="267">
        <v>158</v>
      </c>
      <c r="V30" s="276"/>
      <c r="W30" s="279"/>
    </row>
    <row r="31" spans="1:23" s="278" customFormat="1" ht="35.25" customHeight="1">
      <c r="A31" s="267">
        <v>5</v>
      </c>
      <c r="B31" s="282" t="s">
        <v>646</v>
      </c>
      <c r="C31" s="268" t="s">
        <v>631</v>
      </c>
      <c r="D31" s="281">
        <v>7.34</v>
      </c>
      <c r="E31" s="270">
        <v>28</v>
      </c>
      <c r="F31" s="271">
        <f t="shared" si="16"/>
        <v>205.51999999999998</v>
      </c>
      <c r="G31" s="222">
        <f t="shared" si="25"/>
        <v>28</v>
      </c>
      <c r="H31" s="222">
        <f t="shared" si="26"/>
        <v>205.51999999999998</v>
      </c>
      <c r="I31" s="271"/>
      <c r="J31" s="271"/>
      <c r="K31" s="272">
        <f aca="true" t="shared" si="27" ref="K31:K32">E31/4</f>
        <v>7</v>
      </c>
      <c r="L31" s="273">
        <f aca="true" t="shared" si="28" ref="L31:L32">F31/4</f>
        <v>51.379999999999995</v>
      </c>
      <c r="M31" s="272">
        <f aca="true" t="shared" si="29" ref="M31:M32">K31</f>
        <v>7</v>
      </c>
      <c r="N31" s="274">
        <f aca="true" t="shared" si="30" ref="N31:N32">L31</f>
        <v>51.379999999999995</v>
      </c>
      <c r="O31" s="272">
        <f aca="true" t="shared" si="31" ref="O31:O32">M31</f>
        <v>7</v>
      </c>
      <c r="P31" s="274">
        <f aca="true" t="shared" si="32" ref="P31:P32">N31</f>
        <v>51.379999999999995</v>
      </c>
      <c r="Q31" s="272">
        <f aca="true" t="shared" si="33" ref="Q31:Q32">O31</f>
        <v>7</v>
      </c>
      <c r="R31" s="274">
        <f aca="true" t="shared" si="34" ref="R31:R32">P31</f>
        <v>51.379999999999995</v>
      </c>
      <c r="S31" s="236" t="s">
        <v>639</v>
      </c>
      <c r="T31" s="275"/>
      <c r="U31" s="267">
        <v>158</v>
      </c>
      <c r="V31" s="276"/>
      <c r="W31" s="279"/>
    </row>
    <row r="32" spans="1:23" s="285" customFormat="1" ht="19.5" customHeight="1">
      <c r="A32" s="267">
        <v>6</v>
      </c>
      <c r="B32" s="283" t="s">
        <v>647</v>
      </c>
      <c r="C32" s="268" t="s">
        <v>631</v>
      </c>
      <c r="D32" s="269">
        <v>16.4</v>
      </c>
      <c r="E32" s="284">
        <v>4</v>
      </c>
      <c r="F32" s="271">
        <f t="shared" si="16"/>
        <v>65.6</v>
      </c>
      <c r="G32" s="222">
        <f t="shared" si="25"/>
        <v>4</v>
      </c>
      <c r="H32" s="222">
        <f t="shared" si="26"/>
        <v>65.6</v>
      </c>
      <c r="I32" s="271"/>
      <c r="J32" s="271"/>
      <c r="K32" s="272">
        <f t="shared" si="27"/>
        <v>1</v>
      </c>
      <c r="L32" s="273">
        <f t="shared" si="28"/>
        <v>16.4</v>
      </c>
      <c r="M32" s="272">
        <f t="shared" si="29"/>
        <v>1</v>
      </c>
      <c r="N32" s="274">
        <f t="shared" si="30"/>
        <v>16.4</v>
      </c>
      <c r="O32" s="272">
        <f t="shared" si="31"/>
        <v>1</v>
      </c>
      <c r="P32" s="274">
        <f t="shared" si="32"/>
        <v>16.4</v>
      </c>
      <c r="Q32" s="272">
        <f t="shared" si="33"/>
        <v>1</v>
      </c>
      <c r="R32" s="274">
        <f t="shared" si="34"/>
        <v>16.4</v>
      </c>
      <c r="S32" s="236" t="s">
        <v>639</v>
      </c>
      <c r="T32" s="275"/>
      <c r="U32" s="267">
        <v>158</v>
      </c>
      <c r="V32" s="276"/>
      <c r="W32" s="279"/>
    </row>
    <row r="33" spans="1:23" s="229" customFormat="1" ht="15.75" customHeight="1">
      <c r="A33" s="286" t="s">
        <v>648</v>
      </c>
      <c r="B33" s="286"/>
      <c r="C33" s="286"/>
      <c r="D33" s="286"/>
      <c r="E33" s="286"/>
      <c r="F33" s="287">
        <f>SUM(F27:F32)</f>
        <v>3830.52</v>
      </c>
      <c r="G33" s="288"/>
      <c r="H33" s="287">
        <f>SUM(H27:H32)</f>
        <v>3049.52</v>
      </c>
      <c r="I33" s="287"/>
      <c r="J33" s="287">
        <f>SUM(J27:J32)</f>
        <v>781</v>
      </c>
      <c r="K33" s="264"/>
      <c r="L33" s="287">
        <f>SUM(L27:L32)</f>
        <v>1213.73</v>
      </c>
      <c r="M33" s="264"/>
      <c r="N33" s="287">
        <f>SUM(N27:N32)</f>
        <v>806.53</v>
      </c>
      <c r="O33" s="264"/>
      <c r="P33" s="287">
        <f>SUM(P27:P32)</f>
        <v>1003.73</v>
      </c>
      <c r="Q33" s="264"/>
      <c r="R33" s="287">
        <f>SUM(R27:R32)</f>
        <v>806.53</v>
      </c>
      <c r="S33" s="265"/>
      <c r="T33" s="265"/>
      <c r="U33" s="265"/>
      <c r="V33" s="265"/>
      <c r="W33" s="266">
        <f>F33/F70</f>
        <v>0.033830148517889395</v>
      </c>
    </row>
    <row r="34" spans="1:23" s="229" customFormat="1" ht="17.25" customHeight="1">
      <c r="A34" s="228" t="s">
        <v>649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</row>
    <row r="35" spans="1:23" s="239" customFormat="1" ht="19.5" customHeight="1">
      <c r="A35" s="208">
        <v>1</v>
      </c>
      <c r="B35" s="289" t="s">
        <v>650</v>
      </c>
      <c r="C35" s="210" t="s">
        <v>633</v>
      </c>
      <c r="D35" s="290">
        <v>681.66</v>
      </c>
      <c r="E35" s="222">
        <v>1</v>
      </c>
      <c r="F35" s="222">
        <f>D35</f>
        <v>681.66</v>
      </c>
      <c r="G35" s="222">
        <f>E35</f>
        <v>1</v>
      </c>
      <c r="H35" s="222">
        <f>F35</f>
        <v>681.66</v>
      </c>
      <c r="I35" s="222"/>
      <c r="J35" s="222"/>
      <c r="K35" s="291">
        <v>1</v>
      </c>
      <c r="L35" s="291">
        <f>F35</f>
        <v>681.66</v>
      </c>
      <c r="M35" s="291"/>
      <c r="N35" s="291"/>
      <c r="O35" s="291"/>
      <c r="P35" s="291"/>
      <c r="Q35" s="291"/>
      <c r="R35" s="291"/>
      <c r="S35" s="236" t="s">
        <v>639</v>
      </c>
      <c r="T35" s="292"/>
      <c r="U35" s="292">
        <v>160</v>
      </c>
      <c r="V35" s="292"/>
      <c r="W35" s="292"/>
    </row>
    <row r="36" spans="1:23" s="239" customFormat="1" ht="19.5" customHeight="1">
      <c r="A36" s="208">
        <v>2</v>
      </c>
      <c r="B36" s="293" t="s">
        <v>651</v>
      </c>
      <c r="C36" s="210" t="s">
        <v>631</v>
      </c>
      <c r="D36" s="294">
        <v>33.69</v>
      </c>
      <c r="E36" s="222">
        <v>2</v>
      </c>
      <c r="F36" s="222">
        <f>D36*E36</f>
        <v>67.38</v>
      </c>
      <c r="G36" s="222">
        <v>2</v>
      </c>
      <c r="H36" s="222">
        <v>67.38</v>
      </c>
      <c r="I36" s="222"/>
      <c r="J36" s="222"/>
      <c r="K36" s="291"/>
      <c r="L36" s="291"/>
      <c r="M36" s="291">
        <f>E36</f>
        <v>2</v>
      </c>
      <c r="N36" s="291">
        <f>F36</f>
        <v>67.38</v>
      </c>
      <c r="O36" s="291"/>
      <c r="P36" s="291"/>
      <c r="Q36" s="291"/>
      <c r="R36" s="291"/>
      <c r="S36" s="236" t="s">
        <v>639</v>
      </c>
      <c r="T36" s="292"/>
      <c r="U36" s="292">
        <v>165</v>
      </c>
      <c r="V36" s="292"/>
      <c r="W36" s="292"/>
    </row>
    <row r="37" spans="1:23" s="229" customFormat="1" ht="15.75" customHeight="1">
      <c r="A37" s="286" t="s">
        <v>652</v>
      </c>
      <c r="B37" s="286"/>
      <c r="C37" s="286"/>
      <c r="D37" s="286"/>
      <c r="E37" s="286"/>
      <c r="F37" s="287">
        <f>SUM(F35:F36)</f>
        <v>749.04</v>
      </c>
      <c r="G37" s="287"/>
      <c r="H37" s="287">
        <f>SUM(H35:H36)</f>
        <v>749.04</v>
      </c>
      <c r="I37" s="287"/>
      <c r="J37" s="287">
        <f>SUM(J35:J36)</f>
        <v>0</v>
      </c>
      <c r="K37" s="264"/>
      <c r="L37" s="287">
        <f>SUM(L35:L36)</f>
        <v>681.66</v>
      </c>
      <c r="M37" s="264"/>
      <c r="N37" s="287">
        <f>SUM(N35:N36)</f>
        <v>67.38</v>
      </c>
      <c r="O37" s="264"/>
      <c r="P37" s="287">
        <f>SUM(P35:P36)</f>
        <v>0</v>
      </c>
      <c r="Q37" s="264"/>
      <c r="R37" s="287">
        <f>SUM(R35:R36)</f>
        <v>0</v>
      </c>
      <c r="S37" s="265"/>
      <c r="T37" s="265"/>
      <c r="U37" s="265"/>
      <c r="V37" s="265"/>
      <c r="W37" s="266">
        <f>F37/F70</f>
        <v>0.006615324928688499</v>
      </c>
    </row>
    <row r="38" spans="1:23" s="229" customFormat="1" ht="16.5" customHeight="1">
      <c r="A38" s="228" t="s">
        <v>653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</row>
    <row r="39" spans="1:23" s="300" customFormat="1" ht="19.5" customHeight="1">
      <c r="A39" s="208">
        <v>1</v>
      </c>
      <c r="B39" s="295" t="s">
        <v>654</v>
      </c>
      <c r="C39" s="230" t="s">
        <v>631</v>
      </c>
      <c r="D39" s="296">
        <v>14.1</v>
      </c>
      <c r="E39" s="230">
        <v>30</v>
      </c>
      <c r="F39" s="296">
        <f aca="true" t="shared" si="35" ref="F39:F47">D39*E39</f>
        <v>423</v>
      </c>
      <c r="G39" s="222">
        <f aca="true" t="shared" si="36" ref="G39:G46">E39</f>
        <v>30</v>
      </c>
      <c r="H39" s="222">
        <f aca="true" t="shared" si="37" ref="H39:H46">F39</f>
        <v>423</v>
      </c>
      <c r="I39" s="296"/>
      <c r="J39" s="296"/>
      <c r="K39" s="230">
        <v>30</v>
      </c>
      <c r="L39" s="296">
        <f>F39</f>
        <v>423</v>
      </c>
      <c r="M39" s="230"/>
      <c r="N39" s="230"/>
      <c r="O39" s="230"/>
      <c r="P39" s="230"/>
      <c r="Q39" s="291"/>
      <c r="R39" s="291"/>
      <c r="S39" s="236" t="s">
        <v>639</v>
      </c>
      <c r="T39" s="297"/>
      <c r="U39" s="292">
        <v>169</v>
      </c>
      <c r="V39" s="298"/>
      <c r="W39" s="299"/>
    </row>
    <row r="40" spans="1:23" s="300" customFormat="1" ht="19.5" customHeight="1">
      <c r="A40" s="208">
        <v>2</v>
      </c>
      <c r="B40" s="295" t="s">
        <v>655</v>
      </c>
      <c r="C40" s="230" t="s">
        <v>631</v>
      </c>
      <c r="D40" s="296">
        <v>57</v>
      </c>
      <c r="E40" s="230">
        <v>1</v>
      </c>
      <c r="F40" s="296">
        <f t="shared" si="35"/>
        <v>57</v>
      </c>
      <c r="G40" s="222">
        <f t="shared" si="36"/>
        <v>1</v>
      </c>
      <c r="H40" s="222">
        <f t="shared" si="37"/>
        <v>57</v>
      </c>
      <c r="I40" s="296"/>
      <c r="J40" s="296"/>
      <c r="K40" s="230"/>
      <c r="L40" s="296"/>
      <c r="M40" s="230">
        <v>1</v>
      </c>
      <c r="N40" s="230">
        <v>57</v>
      </c>
      <c r="O40" s="230"/>
      <c r="P40" s="230"/>
      <c r="Q40" s="291"/>
      <c r="R40" s="291"/>
      <c r="S40" s="236" t="s">
        <v>639</v>
      </c>
      <c r="T40" s="297"/>
      <c r="U40" s="292">
        <v>170</v>
      </c>
      <c r="V40" s="298"/>
      <c r="W40" s="299"/>
    </row>
    <row r="41" spans="1:23" s="300" customFormat="1" ht="19.5" customHeight="1">
      <c r="A41" s="208">
        <v>3</v>
      </c>
      <c r="B41" s="295" t="s">
        <v>656</v>
      </c>
      <c r="C41" s="230" t="s">
        <v>631</v>
      </c>
      <c r="D41" s="296">
        <v>29.25</v>
      </c>
      <c r="E41" s="230">
        <v>1</v>
      </c>
      <c r="F41" s="296">
        <f t="shared" si="35"/>
        <v>29.25</v>
      </c>
      <c r="G41" s="222">
        <f t="shared" si="36"/>
        <v>1</v>
      </c>
      <c r="H41" s="222">
        <f t="shared" si="37"/>
        <v>29.25</v>
      </c>
      <c r="I41" s="296"/>
      <c r="J41" s="296"/>
      <c r="K41" s="230"/>
      <c r="L41" s="296"/>
      <c r="M41" s="230">
        <f>E41</f>
        <v>1</v>
      </c>
      <c r="N41" s="296">
        <f>F41</f>
        <v>29.25</v>
      </c>
      <c r="O41" s="230"/>
      <c r="P41" s="230"/>
      <c r="Q41" s="291"/>
      <c r="R41" s="291"/>
      <c r="S41" s="236" t="s">
        <v>639</v>
      </c>
      <c r="T41" s="297"/>
      <c r="U41" s="292">
        <v>170</v>
      </c>
      <c r="V41" s="298"/>
      <c r="W41" s="299"/>
    </row>
    <row r="42" spans="1:23" s="300" customFormat="1" ht="35.25" customHeight="1">
      <c r="A42" s="208">
        <v>4</v>
      </c>
      <c r="B42" s="295" t="s">
        <v>657</v>
      </c>
      <c r="C42" s="230" t="s">
        <v>631</v>
      </c>
      <c r="D42" s="296">
        <v>4.53</v>
      </c>
      <c r="E42" s="230">
        <v>11</v>
      </c>
      <c r="F42" s="296">
        <f t="shared" si="35"/>
        <v>49.830000000000005</v>
      </c>
      <c r="G42" s="222">
        <f t="shared" si="36"/>
        <v>11</v>
      </c>
      <c r="H42" s="222">
        <f t="shared" si="37"/>
        <v>49.830000000000005</v>
      </c>
      <c r="I42" s="296"/>
      <c r="J42" s="296"/>
      <c r="K42" s="230">
        <v>11</v>
      </c>
      <c r="L42" s="296">
        <f aca="true" t="shared" si="38" ref="L42:L43">F42</f>
        <v>49.830000000000005</v>
      </c>
      <c r="M42" s="230"/>
      <c r="N42" s="230"/>
      <c r="O42" s="230"/>
      <c r="P42" s="296"/>
      <c r="Q42" s="291"/>
      <c r="R42" s="291"/>
      <c r="S42" s="236" t="s">
        <v>639</v>
      </c>
      <c r="T42" s="297"/>
      <c r="U42" s="292">
        <v>171</v>
      </c>
      <c r="V42" s="298"/>
      <c r="W42" s="299"/>
    </row>
    <row r="43" spans="1:23" s="300" customFormat="1" ht="19.5" customHeight="1">
      <c r="A43" s="208">
        <v>5</v>
      </c>
      <c r="B43" s="295" t="s">
        <v>658</v>
      </c>
      <c r="C43" s="230" t="s">
        <v>631</v>
      </c>
      <c r="D43" s="296">
        <v>24.16</v>
      </c>
      <c r="E43" s="230">
        <v>6</v>
      </c>
      <c r="F43" s="296">
        <f t="shared" si="35"/>
        <v>144.96</v>
      </c>
      <c r="G43" s="222">
        <f t="shared" si="36"/>
        <v>6</v>
      </c>
      <c r="H43" s="222">
        <f t="shared" si="37"/>
        <v>144.96</v>
      </c>
      <c r="I43" s="296"/>
      <c r="J43" s="296"/>
      <c r="K43" s="230">
        <v>6</v>
      </c>
      <c r="L43" s="296">
        <f t="shared" si="38"/>
        <v>144.96</v>
      </c>
      <c r="M43" s="230"/>
      <c r="N43" s="230"/>
      <c r="O43" s="230"/>
      <c r="P43" s="296"/>
      <c r="Q43" s="291"/>
      <c r="R43" s="291"/>
      <c r="S43" s="236" t="s">
        <v>639</v>
      </c>
      <c r="T43" s="297"/>
      <c r="U43" s="292">
        <v>171</v>
      </c>
      <c r="V43" s="298"/>
      <c r="W43" s="299"/>
    </row>
    <row r="44" spans="1:23" s="300" customFormat="1" ht="19.5" customHeight="1">
      <c r="A44" s="208">
        <v>6</v>
      </c>
      <c r="B44" s="295" t="s">
        <v>659</v>
      </c>
      <c r="C44" s="230" t="s">
        <v>631</v>
      </c>
      <c r="D44" s="296">
        <v>4.35</v>
      </c>
      <c r="E44" s="230">
        <v>15</v>
      </c>
      <c r="F44" s="296">
        <f t="shared" si="35"/>
        <v>65.25</v>
      </c>
      <c r="G44" s="222">
        <f t="shared" si="36"/>
        <v>15</v>
      </c>
      <c r="H44" s="222">
        <f t="shared" si="37"/>
        <v>65.25</v>
      </c>
      <c r="I44" s="296"/>
      <c r="J44" s="296"/>
      <c r="K44" s="230"/>
      <c r="L44" s="296"/>
      <c r="M44" s="230">
        <f aca="true" t="shared" si="39" ref="M44:M46">E44</f>
        <v>15</v>
      </c>
      <c r="N44" s="296">
        <f aca="true" t="shared" si="40" ref="N44:N46">F44</f>
        <v>65.25</v>
      </c>
      <c r="O44" s="230"/>
      <c r="P44" s="296"/>
      <c r="Q44" s="291"/>
      <c r="R44" s="291"/>
      <c r="S44" s="236" t="s">
        <v>639</v>
      </c>
      <c r="T44" s="297"/>
      <c r="U44" s="292">
        <v>172</v>
      </c>
      <c r="V44" s="298"/>
      <c r="W44" s="299"/>
    </row>
    <row r="45" spans="1:23" s="300" customFormat="1" ht="19.5" customHeight="1">
      <c r="A45" s="208">
        <v>7</v>
      </c>
      <c r="B45" s="295" t="s">
        <v>660</v>
      </c>
      <c r="C45" s="230" t="s">
        <v>631</v>
      </c>
      <c r="D45" s="296">
        <v>19.25</v>
      </c>
      <c r="E45" s="230">
        <v>2</v>
      </c>
      <c r="F45" s="296">
        <f t="shared" si="35"/>
        <v>38.5</v>
      </c>
      <c r="G45" s="222">
        <f t="shared" si="36"/>
        <v>2</v>
      </c>
      <c r="H45" s="222">
        <f t="shared" si="37"/>
        <v>38.5</v>
      </c>
      <c r="I45" s="296"/>
      <c r="J45" s="296"/>
      <c r="K45" s="230"/>
      <c r="L45" s="296"/>
      <c r="M45" s="230">
        <f t="shared" si="39"/>
        <v>2</v>
      </c>
      <c r="N45" s="296">
        <f t="shared" si="40"/>
        <v>38.5</v>
      </c>
      <c r="O45" s="230"/>
      <c r="P45" s="296"/>
      <c r="Q45" s="291"/>
      <c r="R45" s="291"/>
      <c r="S45" s="236" t="s">
        <v>639</v>
      </c>
      <c r="T45" s="297"/>
      <c r="U45" s="292">
        <v>172</v>
      </c>
      <c r="V45" s="298"/>
      <c r="W45" s="299"/>
    </row>
    <row r="46" spans="1:23" s="300" customFormat="1" ht="19.5" customHeight="1">
      <c r="A46" s="208">
        <v>8</v>
      </c>
      <c r="B46" s="295" t="s">
        <v>661</v>
      </c>
      <c r="C46" s="230" t="s">
        <v>631</v>
      </c>
      <c r="D46" s="296">
        <v>162.93</v>
      </c>
      <c r="E46" s="230">
        <v>1</v>
      </c>
      <c r="F46" s="296">
        <f t="shared" si="35"/>
        <v>162.93</v>
      </c>
      <c r="G46" s="222">
        <f t="shared" si="36"/>
        <v>1</v>
      </c>
      <c r="H46" s="222">
        <f t="shared" si="37"/>
        <v>162.93</v>
      </c>
      <c r="I46" s="296"/>
      <c r="J46" s="296"/>
      <c r="K46" s="230"/>
      <c r="L46" s="296"/>
      <c r="M46" s="230">
        <f t="shared" si="39"/>
        <v>1</v>
      </c>
      <c r="N46" s="296">
        <f t="shared" si="40"/>
        <v>162.93</v>
      </c>
      <c r="O46" s="230"/>
      <c r="P46" s="296"/>
      <c r="Q46" s="291"/>
      <c r="R46" s="291"/>
      <c r="S46" s="236" t="s">
        <v>639</v>
      </c>
      <c r="T46" s="297"/>
      <c r="U46" s="292">
        <v>173</v>
      </c>
      <c r="V46" s="298"/>
      <c r="W46" s="299"/>
    </row>
    <row r="47" spans="1:23" s="300" customFormat="1" ht="35.25" customHeight="1">
      <c r="A47" s="208">
        <v>9</v>
      </c>
      <c r="B47" s="295" t="s">
        <v>662</v>
      </c>
      <c r="C47" s="230" t="s">
        <v>631</v>
      </c>
      <c r="D47" s="296">
        <v>270.93</v>
      </c>
      <c r="E47" s="230">
        <v>1</v>
      </c>
      <c r="F47" s="296">
        <f t="shared" si="35"/>
        <v>270.93</v>
      </c>
      <c r="G47" s="230">
        <v>1</v>
      </c>
      <c r="H47" s="296">
        <f>F47*G47</f>
        <v>270.93</v>
      </c>
      <c r="I47" s="296"/>
      <c r="J47" s="296"/>
      <c r="K47" s="230">
        <f>E47</f>
        <v>1</v>
      </c>
      <c r="L47" s="296">
        <f>F47</f>
        <v>270.93</v>
      </c>
      <c r="M47" s="230"/>
      <c r="N47" s="296"/>
      <c r="O47" s="230"/>
      <c r="P47" s="296"/>
      <c r="Q47" s="291"/>
      <c r="R47" s="291"/>
      <c r="S47" s="236" t="s">
        <v>639</v>
      </c>
      <c r="T47" s="297"/>
      <c r="U47" s="292">
        <v>176</v>
      </c>
      <c r="V47" s="298"/>
      <c r="W47" s="299"/>
    </row>
    <row r="48" spans="1:23" s="229" customFormat="1" ht="15.75" customHeight="1">
      <c r="A48" s="286" t="s">
        <v>663</v>
      </c>
      <c r="B48" s="286"/>
      <c r="C48" s="286"/>
      <c r="D48" s="286"/>
      <c r="E48" s="286"/>
      <c r="F48" s="287">
        <f>SUM(F39:F47)</f>
        <v>1241.65</v>
      </c>
      <c r="G48" s="287"/>
      <c r="H48" s="287">
        <f>SUM(H39:H47)</f>
        <v>1241.65</v>
      </c>
      <c r="I48" s="287"/>
      <c r="J48" s="287">
        <f>SUM(J39:J47)</f>
        <v>0</v>
      </c>
      <c r="K48" s="287"/>
      <c r="L48" s="287">
        <f>SUM(L39:L47)</f>
        <v>888.72</v>
      </c>
      <c r="M48" s="287"/>
      <c r="N48" s="287">
        <f>SUM(N39:N47)</f>
        <v>352.93</v>
      </c>
      <c r="O48" s="287"/>
      <c r="P48" s="287">
        <f>SUM(P39:P47)</f>
        <v>0</v>
      </c>
      <c r="Q48" s="287"/>
      <c r="R48" s="287">
        <f>SUM(R39:R47)</f>
        <v>0</v>
      </c>
      <c r="S48" s="265"/>
      <c r="T48" s="265"/>
      <c r="U48" s="265"/>
      <c r="V48" s="265"/>
      <c r="W48" s="266">
        <f>F48/F70</f>
        <v>0.010965927317240836</v>
      </c>
    </row>
    <row r="49" spans="1:23" s="229" customFormat="1" ht="17.25" customHeight="1">
      <c r="A49" s="301" t="s">
        <v>664</v>
      </c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</row>
    <row r="50" spans="1:23" s="239" customFormat="1" ht="34.5" customHeight="1">
      <c r="A50" s="208">
        <v>1</v>
      </c>
      <c r="B50" s="209" t="s">
        <v>665</v>
      </c>
      <c r="C50" s="210" t="s">
        <v>633</v>
      </c>
      <c r="D50" s="302">
        <v>587.55</v>
      </c>
      <c r="E50" s="222">
        <v>1</v>
      </c>
      <c r="F50" s="291">
        <f aca="true" t="shared" si="41" ref="F50:F51">D50</f>
        <v>587.55</v>
      </c>
      <c r="G50" s="222">
        <f aca="true" t="shared" si="42" ref="G50:G52">E50</f>
        <v>1</v>
      </c>
      <c r="H50" s="222">
        <f aca="true" t="shared" si="43" ref="H50:H55">F50</f>
        <v>587.55</v>
      </c>
      <c r="I50" s="291"/>
      <c r="J50" s="291"/>
      <c r="K50" s="291"/>
      <c r="L50" s="291"/>
      <c r="M50" s="291">
        <v>1</v>
      </c>
      <c r="N50" s="291">
        <f aca="true" t="shared" si="44" ref="N50:N51">F50</f>
        <v>587.55</v>
      </c>
      <c r="O50" s="291"/>
      <c r="P50" s="291"/>
      <c r="Q50" s="291"/>
      <c r="R50" s="291"/>
      <c r="S50" s="236" t="s">
        <v>639</v>
      </c>
      <c r="T50" s="292"/>
      <c r="U50" s="292">
        <v>181</v>
      </c>
      <c r="V50" s="298"/>
      <c r="W50" s="299"/>
    </row>
    <row r="51" spans="1:23" s="239" customFormat="1" ht="33.75" customHeight="1">
      <c r="A51" s="208">
        <v>2</v>
      </c>
      <c r="B51" s="209" t="s">
        <v>666</v>
      </c>
      <c r="C51" s="210" t="s">
        <v>633</v>
      </c>
      <c r="D51" s="303">
        <v>600.21</v>
      </c>
      <c r="E51" s="222">
        <v>1</v>
      </c>
      <c r="F51" s="291">
        <f t="shared" si="41"/>
        <v>600.21</v>
      </c>
      <c r="G51" s="222">
        <f t="shared" si="42"/>
        <v>1</v>
      </c>
      <c r="H51" s="222">
        <f t="shared" si="43"/>
        <v>600.21</v>
      </c>
      <c r="I51" s="291"/>
      <c r="J51" s="291"/>
      <c r="K51" s="291"/>
      <c r="L51" s="291"/>
      <c r="M51" s="291">
        <v>1</v>
      </c>
      <c r="N51" s="291">
        <f t="shared" si="44"/>
        <v>600.21</v>
      </c>
      <c r="O51" s="291"/>
      <c r="P51" s="291"/>
      <c r="Q51" s="291"/>
      <c r="R51" s="291"/>
      <c r="S51" s="236" t="s">
        <v>639</v>
      </c>
      <c r="T51" s="292"/>
      <c r="U51" s="292">
        <v>181</v>
      </c>
      <c r="V51" s="298"/>
      <c r="W51" s="299"/>
    </row>
    <row r="52" spans="1:23" s="239" customFormat="1" ht="50.25" customHeight="1">
      <c r="A52" s="208">
        <v>3</v>
      </c>
      <c r="B52" s="239" t="s">
        <v>667</v>
      </c>
      <c r="C52" s="210" t="s">
        <v>631</v>
      </c>
      <c r="D52" s="304">
        <v>247.53</v>
      </c>
      <c r="E52" s="222">
        <v>3</v>
      </c>
      <c r="F52" s="222">
        <f>D52*E52</f>
        <v>742.59</v>
      </c>
      <c r="G52" s="222">
        <f t="shared" si="42"/>
        <v>3</v>
      </c>
      <c r="H52" s="222">
        <f t="shared" si="43"/>
        <v>742.59</v>
      </c>
      <c r="I52" s="291"/>
      <c r="J52" s="291"/>
      <c r="K52" s="291">
        <f aca="true" t="shared" si="45" ref="K52:K54">E52</f>
        <v>3</v>
      </c>
      <c r="L52" s="291">
        <f aca="true" t="shared" si="46" ref="L52:L55">F52</f>
        <v>742.59</v>
      </c>
      <c r="M52" s="291"/>
      <c r="N52" s="291"/>
      <c r="O52" s="291"/>
      <c r="P52" s="291"/>
      <c r="Q52" s="291"/>
      <c r="R52" s="291"/>
      <c r="S52" s="236" t="s">
        <v>639</v>
      </c>
      <c r="T52" s="292"/>
      <c r="U52" s="292">
        <v>184</v>
      </c>
      <c r="V52" s="298"/>
      <c r="W52" s="299"/>
    </row>
    <row r="53" spans="1:23" s="239" customFormat="1" ht="19.5" customHeight="1">
      <c r="A53" s="208">
        <v>4</v>
      </c>
      <c r="B53" s="209" t="s">
        <v>668</v>
      </c>
      <c r="C53" s="210" t="s">
        <v>631</v>
      </c>
      <c r="D53" s="303">
        <v>43.68</v>
      </c>
      <c r="E53" s="222">
        <v>1</v>
      </c>
      <c r="F53" s="291">
        <f aca="true" t="shared" si="47" ref="F53:F55">D53</f>
        <v>43.68</v>
      </c>
      <c r="G53" s="222">
        <v>1</v>
      </c>
      <c r="H53" s="291">
        <f t="shared" si="43"/>
        <v>43.68</v>
      </c>
      <c r="I53" s="291"/>
      <c r="J53" s="291"/>
      <c r="K53" s="291">
        <f t="shared" si="45"/>
        <v>1</v>
      </c>
      <c r="L53" s="291">
        <f t="shared" si="46"/>
        <v>43.68</v>
      </c>
      <c r="M53" s="291"/>
      <c r="N53" s="291"/>
      <c r="O53" s="291"/>
      <c r="P53" s="291"/>
      <c r="Q53" s="291"/>
      <c r="R53" s="291"/>
      <c r="S53" s="236" t="s">
        <v>639</v>
      </c>
      <c r="T53" s="292"/>
      <c r="U53" s="292">
        <v>186</v>
      </c>
      <c r="V53" s="298"/>
      <c r="W53" s="299"/>
    </row>
    <row r="54" spans="1:23" s="239" customFormat="1" ht="19.5" customHeight="1">
      <c r="A54" s="208">
        <v>5</v>
      </c>
      <c r="B54" s="209" t="s">
        <v>669</v>
      </c>
      <c r="C54" s="210" t="s">
        <v>631</v>
      </c>
      <c r="D54" s="303">
        <v>33.6</v>
      </c>
      <c r="E54" s="222">
        <v>1</v>
      </c>
      <c r="F54" s="291">
        <f t="shared" si="47"/>
        <v>33.6</v>
      </c>
      <c r="G54" s="222">
        <v>1</v>
      </c>
      <c r="H54" s="291">
        <f t="shared" si="43"/>
        <v>33.6</v>
      </c>
      <c r="I54" s="291"/>
      <c r="J54" s="291"/>
      <c r="K54" s="291">
        <f t="shared" si="45"/>
        <v>1</v>
      </c>
      <c r="L54" s="291">
        <f t="shared" si="46"/>
        <v>33.6</v>
      </c>
      <c r="M54" s="291"/>
      <c r="N54" s="291"/>
      <c r="O54" s="291"/>
      <c r="P54" s="291"/>
      <c r="Q54" s="291"/>
      <c r="R54" s="291"/>
      <c r="S54" s="236" t="s">
        <v>639</v>
      </c>
      <c r="T54" s="292"/>
      <c r="U54" s="292">
        <v>186</v>
      </c>
      <c r="V54" s="298"/>
      <c r="W54" s="299"/>
    </row>
    <row r="55" spans="1:23" s="239" customFormat="1" ht="19.5" customHeight="1">
      <c r="A55" s="208">
        <v>6</v>
      </c>
      <c r="B55" s="209" t="s">
        <v>670</v>
      </c>
      <c r="C55" s="210" t="s">
        <v>631</v>
      </c>
      <c r="D55" s="303">
        <v>17.69</v>
      </c>
      <c r="E55" s="222">
        <v>1</v>
      </c>
      <c r="F55" s="291">
        <f t="shared" si="47"/>
        <v>17.69</v>
      </c>
      <c r="G55" s="222">
        <f>E55</f>
        <v>1</v>
      </c>
      <c r="H55" s="222">
        <f t="shared" si="43"/>
        <v>17.69</v>
      </c>
      <c r="I55" s="291"/>
      <c r="J55" s="291"/>
      <c r="K55" s="291">
        <v>1</v>
      </c>
      <c r="L55" s="291">
        <f t="shared" si="46"/>
        <v>17.69</v>
      </c>
      <c r="M55" s="291"/>
      <c r="N55" s="291"/>
      <c r="O55" s="291"/>
      <c r="P55" s="291"/>
      <c r="Q55" s="291"/>
      <c r="R55" s="291"/>
      <c r="S55" s="236" t="s">
        <v>639</v>
      </c>
      <c r="T55" s="292"/>
      <c r="U55" s="292">
        <v>186</v>
      </c>
      <c r="V55" s="298"/>
      <c r="W55" s="299"/>
    </row>
    <row r="56" spans="1:23" s="229" customFormat="1" ht="18.75" customHeight="1">
      <c r="A56" s="263" t="s">
        <v>671</v>
      </c>
      <c r="B56" s="263"/>
      <c r="C56" s="263"/>
      <c r="D56" s="263"/>
      <c r="E56" s="263"/>
      <c r="F56" s="305">
        <f>SUM(F50:F55)</f>
        <v>2025.3200000000002</v>
      </c>
      <c r="G56" s="305"/>
      <c r="H56" s="305">
        <f>SUM(H50:H55)</f>
        <v>2025.3200000000002</v>
      </c>
      <c r="I56" s="305"/>
      <c r="J56" s="305">
        <f>SUM(J50:J55)</f>
        <v>0</v>
      </c>
      <c r="K56" s="287"/>
      <c r="L56" s="305">
        <f>SUM(L50:L55)</f>
        <v>837.5600000000001</v>
      </c>
      <c r="M56" s="287"/>
      <c r="N56" s="305">
        <f>SUM(N50:N55)</f>
        <v>1187.76</v>
      </c>
      <c r="O56" s="287"/>
      <c r="P56" s="305">
        <f>SUM(P50:P51)</f>
        <v>0</v>
      </c>
      <c r="Q56" s="287"/>
      <c r="R56" s="305">
        <f>SUM(R50:R51)</f>
        <v>0</v>
      </c>
      <c r="S56" s="265"/>
      <c r="T56" s="265"/>
      <c r="U56" s="265"/>
      <c r="V56" s="265"/>
      <c r="W56" s="266">
        <f>F56/F70</f>
        <v>0.01788709532811518</v>
      </c>
    </row>
    <row r="57" spans="1:23" s="229" customFormat="1" ht="17.25" customHeight="1">
      <c r="A57" s="228" t="s">
        <v>672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</row>
    <row r="58" spans="1:23" s="248" customFormat="1" ht="18.75" customHeight="1">
      <c r="A58" s="208">
        <v>1</v>
      </c>
      <c r="B58" s="209" t="s">
        <v>594</v>
      </c>
      <c r="C58" s="210" t="s">
        <v>631</v>
      </c>
      <c r="D58" s="306">
        <v>874</v>
      </c>
      <c r="E58" s="307">
        <v>2</v>
      </c>
      <c r="F58" s="219">
        <f aca="true" t="shared" si="48" ref="F58:F60">D58*E58</f>
        <v>1748</v>
      </c>
      <c r="G58" s="222">
        <f aca="true" t="shared" si="49" ref="G58:G60">E58</f>
        <v>2</v>
      </c>
      <c r="H58" s="222">
        <f aca="true" t="shared" si="50" ref="H58:H60">F58</f>
        <v>1748</v>
      </c>
      <c r="I58" s="219"/>
      <c r="J58" s="219"/>
      <c r="K58" s="291">
        <v>2</v>
      </c>
      <c r="L58" s="291">
        <f>F58</f>
        <v>1748</v>
      </c>
      <c r="M58" s="291"/>
      <c r="N58" s="291"/>
      <c r="O58" s="291"/>
      <c r="P58" s="291"/>
      <c r="Q58" s="291"/>
      <c r="R58" s="291"/>
      <c r="S58" s="236" t="s">
        <v>639</v>
      </c>
      <c r="T58" s="308"/>
      <c r="U58" s="308">
        <v>189</v>
      </c>
      <c r="V58" s="298"/>
      <c r="W58" s="309"/>
    </row>
    <row r="59" spans="1:23" s="248" customFormat="1" ht="18.75" customHeight="1">
      <c r="A59" s="208">
        <v>2</v>
      </c>
      <c r="B59" s="209" t="s">
        <v>595</v>
      </c>
      <c r="C59" s="210" t="s">
        <v>631</v>
      </c>
      <c r="D59" s="306">
        <v>232.08</v>
      </c>
      <c r="E59" s="307">
        <v>3</v>
      </c>
      <c r="F59" s="219">
        <f t="shared" si="48"/>
        <v>696.24</v>
      </c>
      <c r="G59" s="222">
        <f t="shared" si="49"/>
        <v>3</v>
      </c>
      <c r="H59" s="222">
        <f t="shared" si="50"/>
        <v>696.24</v>
      </c>
      <c r="I59" s="219"/>
      <c r="J59" s="219"/>
      <c r="K59" s="291"/>
      <c r="L59" s="291"/>
      <c r="M59" s="291"/>
      <c r="N59" s="291"/>
      <c r="O59" s="291">
        <v>3</v>
      </c>
      <c r="P59" s="291">
        <f>F59</f>
        <v>696.24</v>
      </c>
      <c r="Q59" s="291"/>
      <c r="R59" s="291"/>
      <c r="S59" s="236" t="s">
        <v>639</v>
      </c>
      <c r="T59" s="308"/>
      <c r="U59" s="308">
        <v>190</v>
      </c>
      <c r="V59" s="298"/>
      <c r="W59" s="309"/>
    </row>
    <row r="60" spans="1:23" s="248" customFormat="1" ht="19.5" customHeight="1">
      <c r="A60" s="208">
        <v>3</v>
      </c>
      <c r="B60" s="213" t="s">
        <v>596</v>
      </c>
      <c r="C60" s="210" t="s">
        <v>631</v>
      </c>
      <c r="D60" s="306">
        <f>2980/1.2</f>
        <v>2483.3333333333335</v>
      </c>
      <c r="E60" s="307">
        <v>1</v>
      </c>
      <c r="F60" s="219">
        <f t="shared" si="48"/>
        <v>2483.3333333333335</v>
      </c>
      <c r="G60" s="222">
        <f t="shared" si="49"/>
        <v>1</v>
      </c>
      <c r="H60" s="222">
        <f t="shared" si="50"/>
        <v>2483.3333333333335</v>
      </c>
      <c r="I60" s="219"/>
      <c r="J60" s="219"/>
      <c r="K60" s="291"/>
      <c r="L60" s="291"/>
      <c r="M60" s="291"/>
      <c r="N60" s="291"/>
      <c r="O60" s="291">
        <v>1</v>
      </c>
      <c r="P60" s="291">
        <f>D60</f>
        <v>2483.3333333333335</v>
      </c>
      <c r="Q60" s="291"/>
      <c r="R60" s="291"/>
      <c r="S60" s="236" t="s">
        <v>639</v>
      </c>
      <c r="T60" s="308"/>
      <c r="U60" s="308">
        <v>191</v>
      </c>
      <c r="V60" s="298"/>
      <c r="W60" s="309"/>
    </row>
    <row r="61" spans="1:23" s="229" customFormat="1" ht="15.75" customHeight="1">
      <c r="A61" s="286" t="s">
        <v>673</v>
      </c>
      <c r="B61" s="286"/>
      <c r="C61" s="286"/>
      <c r="D61" s="286"/>
      <c r="E61" s="286"/>
      <c r="F61" s="310">
        <f>SUM(F58:F60)</f>
        <v>4927.573333333334</v>
      </c>
      <c r="G61" s="310"/>
      <c r="H61" s="310">
        <f>SUM(H58:H60)</f>
        <v>4927.573333333334</v>
      </c>
      <c r="I61" s="310"/>
      <c r="J61" s="310">
        <f>SUM(J58:J60)</f>
        <v>0</v>
      </c>
      <c r="K61" s="310"/>
      <c r="L61" s="310">
        <f>SUM(L58:L60)</f>
        <v>1748</v>
      </c>
      <c r="M61" s="264"/>
      <c r="N61" s="310">
        <f>SUM(N58:N60)</f>
        <v>0</v>
      </c>
      <c r="O61" s="264"/>
      <c r="P61" s="310">
        <f>SUM(P58:P60)</f>
        <v>3179.5733333333337</v>
      </c>
      <c r="Q61" s="264"/>
      <c r="R61" s="310">
        <f>SUM(R58:R60)</f>
        <v>0</v>
      </c>
      <c r="S61" s="265"/>
      <c r="T61" s="265"/>
      <c r="U61" s="265"/>
      <c r="V61" s="265"/>
      <c r="W61" s="266">
        <f>F61/F70</f>
        <v>0.043519035979307764</v>
      </c>
    </row>
    <row r="62" spans="1:23" s="229" customFormat="1" ht="15.75" customHeight="1">
      <c r="A62" s="228" t="s">
        <v>674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</row>
    <row r="63" spans="1:23" s="239" customFormat="1" ht="19.5" customHeight="1">
      <c r="A63" s="308">
        <v>1</v>
      </c>
      <c r="B63" s="217" t="s">
        <v>598</v>
      </c>
      <c r="C63" s="230" t="s">
        <v>631</v>
      </c>
      <c r="D63" s="311">
        <v>80</v>
      </c>
      <c r="E63" s="219">
        <v>1</v>
      </c>
      <c r="F63" s="219">
        <f>D63*E63</f>
        <v>80</v>
      </c>
      <c r="G63" s="222">
        <f aca="true" t="shared" si="51" ref="G63:G68">E63</f>
        <v>1</v>
      </c>
      <c r="H63" s="222">
        <f aca="true" t="shared" si="52" ref="H63:H68">F63</f>
        <v>80</v>
      </c>
      <c r="I63" s="219"/>
      <c r="J63" s="219"/>
      <c r="K63" s="291"/>
      <c r="L63" s="291"/>
      <c r="M63" s="291">
        <v>1</v>
      </c>
      <c r="N63" s="291">
        <v>80</v>
      </c>
      <c r="O63" s="291"/>
      <c r="P63" s="291"/>
      <c r="Q63" s="291"/>
      <c r="R63" s="291"/>
      <c r="S63" s="236" t="s">
        <v>639</v>
      </c>
      <c r="T63" s="292"/>
      <c r="U63" s="308">
        <v>193</v>
      </c>
      <c r="V63" s="298"/>
      <c r="W63" s="309"/>
    </row>
    <row r="64" spans="1:23" s="239" customFormat="1" ht="34.5" customHeight="1">
      <c r="A64" s="308">
        <v>2</v>
      </c>
      <c r="B64" s="220" t="s">
        <v>675</v>
      </c>
      <c r="C64" s="230" t="s">
        <v>631</v>
      </c>
      <c r="D64" s="311">
        <v>19.9</v>
      </c>
      <c r="E64" s="222">
        <v>1</v>
      </c>
      <c r="F64" s="222">
        <f aca="true" t="shared" si="53" ref="F64:F65">E64*D64</f>
        <v>19.9</v>
      </c>
      <c r="G64" s="222">
        <f t="shared" si="51"/>
        <v>1</v>
      </c>
      <c r="H64" s="222">
        <f t="shared" si="52"/>
        <v>19.9</v>
      </c>
      <c r="I64" s="222"/>
      <c r="J64" s="222"/>
      <c r="K64" s="222">
        <v>1</v>
      </c>
      <c r="L64" s="222">
        <f>F64</f>
        <v>19.9</v>
      </c>
      <c r="M64" s="291"/>
      <c r="N64" s="291"/>
      <c r="O64" s="291"/>
      <c r="P64" s="291"/>
      <c r="Q64" s="291"/>
      <c r="R64" s="291"/>
      <c r="S64" s="236" t="s">
        <v>639</v>
      </c>
      <c r="T64" s="292"/>
      <c r="U64" s="308">
        <v>193</v>
      </c>
      <c r="V64" s="298"/>
      <c r="W64" s="309"/>
    </row>
    <row r="65" spans="1:23" s="239" customFormat="1" ht="17.25" customHeight="1">
      <c r="A65" s="308">
        <v>3</v>
      </c>
      <c r="B65" s="239" t="s">
        <v>600</v>
      </c>
      <c r="C65" s="230" t="s">
        <v>631</v>
      </c>
      <c r="D65" s="311">
        <v>18.4</v>
      </c>
      <c r="E65" s="222">
        <v>2</v>
      </c>
      <c r="F65" s="222">
        <f t="shared" si="53"/>
        <v>36.8</v>
      </c>
      <c r="G65" s="222">
        <f t="shared" si="51"/>
        <v>2</v>
      </c>
      <c r="H65" s="222">
        <f t="shared" si="52"/>
        <v>36.8</v>
      </c>
      <c r="I65" s="222"/>
      <c r="J65" s="222"/>
      <c r="K65" s="291">
        <v>1</v>
      </c>
      <c r="L65" s="291">
        <v>18.4</v>
      </c>
      <c r="M65" s="291"/>
      <c r="N65" s="291"/>
      <c r="O65" s="291"/>
      <c r="P65" s="291"/>
      <c r="Q65" s="291">
        <v>1</v>
      </c>
      <c r="R65" s="291">
        <v>18.4</v>
      </c>
      <c r="S65" s="236" t="s">
        <v>639</v>
      </c>
      <c r="T65" s="292"/>
      <c r="U65" s="308">
        <v>194</v>
      </c>
      <c r="V65" s="298"/>
      <c r="W65" s="309"/>
    </row>
    <row r="66" spans="1:23" s="239" customFormat="1" ht="17.25" customHeight="1">
      <c r="A66" s="308">
        <v>4</v>
      </c>
      <c r="B66" s="223" t="s">
        <v>601</v>
      </c>
      <c r="C66" s="230" t="s">
        <v>631</v>
      </c>
      <c r="D66" s="311">
        <v>31.7</v>
      </c>
      <c r="E66" s="222">
        <v>1</v>
      </c>
      <c r="F66" s="222">
        <v>31.7</v>
      </c>
      <c r="G66" s="222">
        <f t="shared" si="51"/>
        <v>1</v>
      </c>
      <c r="H66" s="222">
        <f t="shared" si="52"/>
        <v>31.7</v>
      </c>
      <c r="I66" s="222"/>
      <c r="J66" s="222"/>
      <c r="K66" s="291"/>
      <c r="L66" s="291"/>
      <c r="M66" s="291"/>
      <c r="N66" s="291"/>
      <c r="O66" s="291">
        <v>1</v>
      </c>
      <c r="P66" s="291">
        <v>31.7</v>
      </c>
      <c r="Q66" s="291"/>
      <c r="R66" s="291"/>
      <c r="S66" s="236" t="s">
        <v>639</v>
      </c>
      <c r="T66" s="292"/>
      <c r="U66" s="308">
        <v>196</v>
      </c>
      <c r="V66" s="298"/>
      <c r="W66" s="309"/>
    </row>
    <row r="67" spans="1:23" s="239" customFormat="1" ht="17.25" customHeight="1">
      <c r="A67" s="308">
        <v>5</v>
      </c>
      <c r="B67" s="223" t="s">
        <v>602</v>
      </c>
      <c r="C67" s="230" t="s">
        <v>631</v>
      </c>
      <c r="D67" s="311">
        <v>21</v>
      </c>
      <c r="E67" s="222">
        <v>1</v>
      </c>
      <c r="F67" s="222">
        <f aca="true" t="shared" si="54" ref="F67:F68">D67*E67</f>
        <v>21</v>
      </c>
      <c r="G67" s="222">
        <f t="shared" si="51"/>
        <v>1</v>
      </c>
      <c r="H67" s="222">
        <f t="shared" si="52"/>
        <v>21</v>
      </c>
      <c r="I67" s="222"/>
      <c r="J67" s="222"/>
      <c r="K67" s="291"/>
      <c r="L67" s="291"/>
      <c r="M67" s="291"/>
      <c r="N67" s="291"/>
      <c r="O67" s="291">
        <v>1</v>
      </c>
      <c r="P67" s="291">
        <v>21</v>
      </c>
      <c r="Q67" s="291"/>
      <c r="R67" s="291"/>
      <c r="S67" s="236" t="s">
        <v>639</v>
      </c>
      <c r="T67" s="292"/>
      <c r="U67" s="308">
        <v>197</v>
      </c>
      <c r="V67" s="298"/>
      <c r="W67" s="309"/>
    </row>
    <row r="68" spans="1:23" s="239" customFormat="1" ht="17.25" customHeight="1">
      <c r="A68" s="308">
        <v>6</v>
      </c>
      <c r="B68" s="223" t="s">
        <v>676</v>
      </c>
      <c r="C68" s="230" t="s">
        <v>631</v>
      </c>
      <c r="D68" s="311">
        <v>47</v>
      </c>
      <c r="E68" s="222">
        <v>1</v>
      </c>
      <c r="F68" s="222">
        <f t="shared" si="54"/>
        <v>47</v>
      </c>
      <c r="G68" s="222">
        <f t="shared" si="51"/>
        <v>1</v>
      </c>
      <c r="H68" s="222">
        <f t="shared" si="52"/>
        <v>47</v>
      </c>
      <c r="I68" s="222"/>
      <c r="J68" s="222"/>
      <c r="K68" s="291"/>
      <c r="L68" s="291"/>
      <c r="M68" s="291"/>
      <c r="N68" s="291"/>
      <c r="O68" s="291">
        <v>1</v>
      </c>
      <c r="P68" s="291">
        <v>47</v>
      </c>
      <c r="Q68" s="291"/>
      <c r="R68" s="291"/>
      <c r="S68" s="236" t="s">
        <v>639</v>
      </c>
      <c r="T68" s="292"/>
      <c r="U68" s="308">
        <v>197</v>
      </c>
      <c r="V68" s="298"/>
      <c r="W68" s="309"/>
    </row>
    <row r="69" spans="1:23" s="229" customFormat="1" ht="18.75" customHeight="1">
      <c r="A69" s="263" t="s">
        <v>677</v>
      </c>
      <c r="B69" s="263"/>
      <c r="C69" s="263"/>
      <c r="D69" s="263"/>
      <c r="E69" s="263"/>
      <c r="F69" s="310">
        <f>SUM(F63:F68)</f>
        <v>236.39999999999998</v>
      </c>
      <c r="G69" s="310"/>
      <c r="H69" s="310">
        <f>SUM(H63:H68)</f>
        <v>236.39999999999998</v>
      </c>
      <c r="I69" s="310"/>
      <c r="J69" s="310">
        <f>SUM(J63:J68)</f>
        <v>0</v>
      </c>
      <c r="K69" s="264"/>
      <c r="L69" s="310">
        <f>SUM(L63:L68)</f>
        <v>38.3</v>
      </c>
      <c r="M69" s="310"/>
      <c r="N69" s="310">
        <f>SUM(N63:N68)</f>
        <v>80</v>
      </c>
      <c r="O69" s="264"/>
      <c r="P69" s="310">
        <f>SUM(P63:P68)</f>
        <v>99.7</v>
      </c>
      <c r="Q69" s="264"/>
      <c r="R69" s="310">
        <f>SUM(R63:R68)</f>
        <v>18.4</v>
      </c>
      <c r="S69" s="265"/>
      <c r="T69" s="265"/>
      <c r="U69" s="308"/>
      <c r="V69" s="265"/>
      <c r="W69" s="266">
        <f>F69/F70</f>
        <v>0.00208782283074597</v>
      </c>
    </row>
    <row r="70" spans="1:23" s="229" customFormat="1" ht="18.75" customHeight="1">
      <c r="A70" s="286" t="s">
        <v>678</v>
      </c>
      <c r="B70" s="286"/>
      <c r="C70" s="286"/>
      <c r="D70" s="286"/>
      <c r="E70" s="286"/>
      <c r="F70" s="312">
        <f>F69+F61+F56+F48+F37+F33+F25-0.1</f>
        <v>113227.99833333335</v>
      </c>
      <c r="G70" s="313"/>
      <c r="H70" s="314">
        <f>H69+H61+H56+H48+H37+H33+H25-0.1</f>
        <v>112446.99833333335</v>
      </c>
      <c r="I70" s="314"/>
      <c r="J70" s="314">
        <f>J69+J61+J56+J48+J37+J33+J25</f>
        <v>781</v>
      </c>
      <c r="K70" s="264"/>
      <c r="L70" s="310">
        <f>L69+L61+L56+L48+L37+L33+L25</f>
        <v>30019.144334020617</v>
      </c>
      <c r="M70" s="264"/>
      <c r="N70" s="310">
        <f>N69+N61+N56+N48+N37+N33+N25</f>
        <v>27514.036334020624</v>
      </c>
      <c r="O70" s="264"/>
      <c r="P70" s="310">
        <f>P69+P61+P56+P48+P37+P33+P25</f>
        <v>29904.245667353956</v>
      </c>
      <c r="Q70" s="264"/>
      <c r="R70" s="310">
        <f>R69+R61+R56+R48+R37+R33+R25</f>
        <v>25790.658900000002</v>
      </c>
      <c r="S70" s="265"/>
      <c r="T70" s="265"/>
      <c r="U70" s="265"/>
      <c r="V70" s="265"/>
      <c r="W70" s="315">
        <f>W69+W61+W56+W48+W37+W33+W25</f>
        <v>1.0000008831737863</v>
      </c>
    </row>
    <row r="71" ht="15" customHeight="1">
      <c r="F71" s="316"/>
    </row>
    <row r="72" ht="15" customHeight="1">
      <c r="F72" s="317"/>
    </row>
    <row r="73" spans="1:24" s="324" customFormat="1" ht="15.75" customHeight="1">
      <c r="A73" s="318"/>
      <c r="B73" s="319" t="s">
        <v>679</v>
      </c>
      <c r="C73" s="320"/>
      <c r="D73" s="320"/>
      <c r="E73" s="320"/>
      <c r="F73" s="321"/>
      <c r="G73" s="320"/>
      <c r="H73" s="320"/>
      <c r="I73" s="320"/>
      <c r="J73" s="320"/>
      <c r="K73" s="320"/>
      <c r="L73" s="320"/>
      <c r="M73" s="322" t="s">
        <v>17</v>
      </c>
      <c r="N73" s="322"/>
      <c r="O73" s="322"/>
      <c r="P73" s="320"/>
      <c r="Q73" s="320"/>
      <c r="R73" s="323"/>
      <c r="S73" s="323"/>
      <c r="T73" s="323"/>
      <c r="U73" s="323"/>
      <c r="V73" s="323"/>
      <c r="W73" s="323"/>
      <c r="X73" s="323"/>
    </row>
    <row r="74" spans="1:24" s="324" customFormat="1" ht="15.75" customHeight="1">
      <c r="A74" s="325"/>
      <c r="B74" s="326" t="s">
        <v>680</v>
      </c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7"/>
      <c r="N74" s="327" t="s">
        <v>20</v>
      </c>
      <c r="O74" s="327"/>
      <c r="P74" s="320"/>
      <c r="Q74" s="320"/>
      <c r="R74" s="323"/>
      <c r="S74" s="323"/>
      <c r="T74" s="323"/>
      <c r="U74" s="323"/>
      <c r="V74" s="323"/>
      <c r="W74" s="323"/>
      <c r="X74" s="323"/>
    </row>
    <row r="75" spans="1:24" s="324" customFormat="1" ht="14.25" customHeight="1">
      <c r="A75" s="320"/>
      <c r="B75" s="326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3"/>
      <c r="T75" s="323"/>
      <c r="U75" s="323"/>
      <c r="V75" s="323"/>
      <c r="W75" s="323"/>
      <c r="X75" s="323"/>
    </row>
    <row r="76" spans="1:24" s="324" customFormat="1" ht="15.75" customHeight="1">
      <c r="A76" s="320"/>
      <c r="B76" s="328" t="s">
        <v>681</v>
      </c>
      <c r="C76" s="320"/>
      <c r="D76" s="323"/>
      <c r="E76" s="329"/>
      <c r="F76" s="330" t="s">
        <v>682</v>
      </c>
      <c r="G76" s="330"/>
      <c r="H76" s="330"/>
      <c r="I76" s="330"/>
      <c r="J76" s="330"/>
      <c r="K76" s="330"/>
      <c r="L76" s="320"/>
      <c r="M76" s="320"/>
      <c r="N76" s="320"/>
      <c r="O76" s="320"/>
      <c r="P76" s="320"/>
      <c r="Q76" s="320"/>
      <c r="R76" s="320"/>
      <c r="S76" s="323"/>
      <c r="T76" s="323"/>
      <c r="U76" s="323"/>
      <c r="V76" s="323"/>
      <c r="W76" s="323"/>
      <c r="X76" s="323"/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8">
    <mergeCell ref="A1:W1"/>
    <mergeCell ref="A2:A4"/>
    <mergeCell ref="B2:B4"/>
    <mergeCell ref="C2:C4"/>
    <mergeCell ref="D2:D4"/>
    <mergeCell ref="E2:F2"/>
    <mergeCell ref="G2:J2"/>
    <mergeCell ref="K2:R2"/>
    <mergeCell ref="S2:S4"/>
    <mergeCell ref="T2:T4"/>
    <mergeCell ref="U2:U4"/>
    <mergeCell ref="V2:V4"/>
    <mergeCell ref="W2:W4"/>
    <mergeCell ref="E3:E4"/>
    <mergeCell ref="F3:F4"/>
    <mergeCell ref="G3:H3"/>
    <mergeCell ref="I3:J3"/>
    <mergeCell ref="K3:L3"/>
    <mergeCell ref="M3:N3"/>
    <mergeCell ref="O3:P3"/>
    <mergeCell ref="Q3:R3"/>
    <mergeCell ref="A6:W6"/>
    <mergeCell ref="A25:E25"/>
    <mergeCell ref="A26:W26"/>
    <mergeCell ref="A33:E33"/>
    <mergeCell ref="A34:W34"/>
    <mergeCell ref="A37:E37"/>
    <mergeCell ref="A38:W38"/>
    <mergeCell ref="A48:E48"/>
    <mergeCell ref="A49:W49"/>
    <mergeCell ref="A56:E56"/>
    <mergeCell ref="A57:W57"/>
    <mergeCell ref="A61:E61"/>
    <mergeCell ref="A62:W62"/>
    <mergeCell ref="A69:E69"/>
    <mergeCell ref="A70:E70"/>
    <mergeCell ref="M73:O73"/>
    <mergeCell ref="F76:K76"/>
  </mergeCells>
  <printOptions/>
  <pageMargins left="0.21666666666666667" right="0.21666666666666667" top="0.7875" bottom="0.21666666666666667" header="0.5118055555555555" footer="0.5118055555555555"/>
  <pageSetup horizontalDpi="300" verticalDpi="300" orientation="landscape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1"/>
  <sheetViews>
    <sheetView zoomScale="75" zoomScaleNormal="75" workbookViewId="0" topLeftCell="A1">
      <selection activeCell="J13" sqref="J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1"/>
  <sheetViews>
    <sheetView zoomScale="75" zoomScaleNormal="75" workbookViewId="0" topLeftCell="A10">
      <selection activeCell="N28" sqref="N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="75" zoomScaleNormal="75" workbookViewId="0" topLeftCell="A59">
      <selection activeCell="G71" sqref="G7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1"/>
  <sheetViews>
    <sheetView zoomScale="75" zoomScaleNormal="75" workbookViewId="0" topLeftCell="A4">
      <selection activeCell="F15" sqref="F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A1"/>
  <sheetViews>
    <sheetView zoomScale="75" zoomScaleNormal="75" workbookViewId="0" topLeftCell="A1">
      <selection activeCell="E10" sqref="E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A1"/>
  <sheetViews>
    <sheetView zoomScale="75" zoomScaleNormal="75" workbookViewId="0" topLeftCell="A19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A1"/>
  <sheetViews>
    <sheetView zoomScale="75" zoomScaleNormal="75" workbookViewId="0" topLeftCell="A1">
      <pane ySplit="6" topLeftCell="A13" activePane="bottomLeft" state="frozen"/>
      <selection pane="topLeft" activeCell="A1" sqref="A1"/>
      <selection pane="bottomLeft" activeCell="E13" sqref="E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4"/>
  <sheetViews>
    <sheetView zoomScale="75" zoomScaleNormal="75" workbookViewId="0" topLeftCell="A10">
      <selection activeCell="N28" sqref="N28"/>
    </sheetView>
  </sheetViews>
  <sheetFormatPr defaultColWidth="9.140625" defaultRowHeight="12.75"/>
  <cols>
    <col min="1" max="1" width="5.00390625" style="28" customWidth="1"/>
    <col min="2" max="2" width="7.7109375" style="28" customWidth="1"/>
    <col min="3" max="3" width="43.7109375" style="28" customWidth="1"/>
    <col min="4" max="4" width="13.140625" style="28" customWidth="1"/>
    <col min="5" max="5" width="9.00390625" style="28" customWidth="1"/>
    <col min="6" max="6" width="11.28125" style="28" customWidth="1"/>
    <col min="7" max="7" width="10.57421875" style="28" customWidth="1"/>
    <col min="8" max="8" width="11.8515625" style="28" customWidth="1"/>
    <col min="9" max="9" width="6.421875" style="28" customWidth="1"/>
    <col min="10" max="10" width="10.140625" style="28" customWidth="1"/>
    <col min="11" max="11" width="12.00390625" style="28" customWidth="1"/>
    <col min="12" max="12" width="12.8515625" style="28" customWidth="1"/>
    <col min="13" max="13" width="12.140625" style="28" customWidth="1"/>
    <col min="14" max="14" width="13.57421875" style="28" customWidth="1"/>
    <col min="15" max="16384" width="9.140625" style="28" customWidth="1"/>
  </cols>
  <sheetData>
    <row r="1" spans="1:14" s="29" customFormat="1" ht="19.5" customHeight="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29" customFormat="1" ht="15.75" customHeight="1">
      <c r="A2" s="3" t="s">
        <v>1</v>
      </c>
      <c r="B2" s="3" t="s">
        <v>24</v>
      </c>
      <c r="C2" s="3"/>
      <c r="D2" s="5" t="s">
        <v>25</v>
      </c>
      <c r="E2" s="5"/>
      <c r="F2" s="3" t="s">
        <v>4</v>
      </c>
      <c r="G2" s="3"/>
      <c r="H2" s="3"/>
      <c r="I2" s="3"/>
      <c r="J2" s="3"/>
      <c r="K2" s="3"/>
      <c r="L2" s="3"/>
      <c r="M2" s="3"/>
      <c r="N2" s="3"/>
    </row>
    <row r="3" spans="1:14" s="29" customFormat="1" ht="31.5" customHeight="1">
      <c r="A3" s="3"/>
      <c r="B3" s="3"/>
      <c r="C3" s="3"/>
      <c r="D3" s="5"/>
      <c r="E3" s="5"/>
      <c r="F3" s="30" t="s">
        <v>26</v>
      </c>
      <c r="G3" s="30"/>
      <c r="H3" s="30"/>
      <c r="I3" s="30"/>
      <c r="J3" s="30"/>
      <c r="K3" s="30" t="s">
        <v>27</v>
      </c>
      <c r="L3" s="30" t="s">
        <v>28</v>
      </c>
      <c r="M3" s="30" t="s">
        <v>29</v>
      </c>
      <c r="N3" s="30" t="s">
        <v>30</v>
      </c>
    </row>
    <row r="4" spans="1:14" s="29" customFormat="1" ht="14.25" customHeight="1">
      <c r="A4" s="3"/>
      <c r="B4" s="3"/>
      <c r="C4" s="3"/>
      <c r="D4" s="3" t="s">
        <v>31</v>
      </c>
      <c r="E4" s="3" t="s">
        <v>6</v>
      </c>
      <c r="F4" s="3" t="s">
        <v>32</v>
      </c>
      <c r="G4" s="3"/>
      <c r="H4" s="3" t="s">
        <v>33</v>
      </c>
      <c r="I4" s="3"/>
      <c r="J4" s="3"/>
      <c r="K4" s="3" t="s">
        <v>31</v>
      </c>
      <c r="L4" s="3" t="s">
        <v>31</v>
      </c>
      <c r="M4" s="3" t="s">
        <v>31</v>
      </c>
      <c r="N4" s="3" t="s">
        <v>31</v>
      </c>
    </row>
    <row r="5" spans="1:14" s="29" customFormat="1" ht="14.25" customHeight="1">
      <c r="A5" s="3"/>
      <c r="B5" s="3"/>
      <c r="C5" s="3"/>
      <c r="D5" s="3"/>
      <c r="E5" s="3"/>
      <c r="F5" s="3"/>
      <c r="G5" s="3"/>
      <c r="H5" s="3" t="s">
        <v>34</v>
      </c>
      <c r="I5" s="3"/>
      <c r="J5" s="3" t="s">
        <v>35</v>
      </c>
      <c r="K5" s="3"/>
      <c r="L5" s="3"/>
      <c r="M5" s="3"/>
      <c r="N5" s="3"/>
    </row>
    <row r="6" spans="1:14" s="29" customFormat="1" ht="33" customHeight="1">
      <c r="A6" s="3"/>
      <c r="B6" s="3"/>
      <c r="C6" s="3"/>
      <c r="D6" s="3"/>
      <c r="E6" s="3"/>
      <c r="F6" s="3" t="s">
        <v>31</v>
      </c>
      <c r="G6" s="3" t="s">
        <v>6</v>
      </c>
      <c r="H6" s="3" t="s">
        <v>36</v>
      </c>
      <c r="I6" s="3" t="s">
        <v>6</v>
      </c>
      <c r="J6" s="3"/>
      <c r="K6" s="3"/>
      <c r="L6" s="3"/>
      <c r="M6" s="3"/>
      <c r="N6" s="3"/>
    </row>
    <row r="7" spans="1:14" s="29" customFormat="1" ht="14.25" customHeight="1">
      <c r="A7" s="3">
        <v>1</v>
      </c>
      <c r="B7" s="3">
        <v>2</v>
      </c>
      <c r="C7" s="3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</row>
    <row r="8" spans="1:14" ht="33" customHeight="1">
      <c r="A8" s="31" t="s">
        <v>37</v>
      </c>
      <c r="B8" s="31" t="s">
        <v>38</v>
      </c>
      <c r="C8" s="31"/>
      <c r="D8" s="8"/>
      <c r="E8" s="9"/>
      <c r="F8" s="8">
        <f>F9+F15+F21+F25+F29-0.15</f>
        <v>98480.192</v>
      </c>
      <c r="G8" s="9"/>
      <c r="H8" s="8"/>
      <c r="I8" s="8"/>
      <c r="J8" s="8"/>
      <c r="K8" s="8">
        <f>K9+K15+K21+K25+K29-0.15</f>
        <v>98480.192</v>
      </c>
      <c r="L8" s="8">
        <f>L9+L15+L21+L25+L29-0.15</f>
        <v>98480.192</v>
      </c>
      <c r="M8" s="8">
        <f>M9+M15+M21+M25+M29-0.15</f>
        <v>98480.192</v>
      </c>
      <c r="N8" s="8">
        <f>N9+N15+N21+N25+N29-0.15</f>
        <v>98480.192</v>
      </c>
    </row>
    <row r="9" spans="1:14" ht="31.5" customHeight="1">
      <c r="A9" s="31" t="s">
        <v>39</v>
      </c>
      <c r="B9" s="31" t="s">
        <v>40</v>
      </c>
      <c r="C9" s="31"/>
      <c r="D9" s="8">
        <v>0</v>
      </c>
      <c r="E9" s="9">
        <v>0</v>
      </c>
      <c r="F9" s="8">
        <v>0</v>
      </c>
      <c r="G9" s="9">
        <v>0</v>
      </c>
      <c r="H9" s="8"/>
      <c r="I9" s="32"/>
      <c r="J9" s="32"/>
      <c r="K9" s="8">
        <v>0</v>
      </c>
      <c r="L9" s="8">
        <v>0</v>
      </c>
      <c r="M9" s="8">
        <v>0</v>
      </c>
      <c r="N9" s="8">
        <v>0</v>
      </c>
    </row>
    <row r="10" spans="1:14" ht="13.5" customHeight="1">
      <c r="A10" s="31"/>
      <c r="B10" s="31" t="s">
        <v>41</v>
      </c>
      <c r="C10" s="33" t="s">
        <v>42</v>
      </c>
      <c r="D10" s="8">
        <v>0</v>
      </c>
      <c r="E10" s="9">
        <v>0</v>
      </c>
      <c r="F10" s="10">
        <v>0</v>
      </c>
      <c r="G10" s="9">
        <v>0</v>
      </c>
      <c r="H10" s="10"/>
      <c r="I10" s="32"/>
      <c r="J10" s="32"/>
      <c r="K10" s="10">
        <v>0</v>
      </c>
      <c r="L10" s="10">
        <v>0</v>
      </c>
      <c r="M10" s="10">
        <v>0</v>
      </c>
      <c r="N10" s="10">
        <v>0</v>
      </c>
    </row>
    <row r="11" spans="1:14" ht="13.5" customHeight="1">
      <c r="A11" s="31"/>
      <c r="B11" s="31" t="s">
        <v>43</v>
      </c>
      <c r="C11" s="33" t="s">
        <v>44</v>
      </c>
      <c r="D11" s="8">
        <v>0</v>
      </c>
      <c r="E11" s="9">
        <v>0</v>
      </c>
      <c r="F11" s="10">
        <v>0</v>
      </c>
      <c r="G11" s="9">
        <v>0</v>
      </c>
      <c r="H11" s="10"/>
      <c r="I11" s="32"/>
      <c r="J11" s="32"/>
      <c r="K11" s="10">
        <v>0</v>
      </c>
      <c r="L11" s="10">
        <v>0</v>
      </c>
      <c r="M11" s="10">
        <v>0</v>
      </c>
      <c r="N11" s="10">
        <v>0</v>
      </c>
    </row>
    <row r="12" spans="1:14" ht="13.5" customHeight="1">
      <c r="A12" s="31"/>
      <c r="B12" s="31" t="s">
        <v>45</v>
      </c>
      <c r="C12" s="33" t="s">
        <v>46</v>
      </c>
      <c r="D12" s="8">
        <v>0</v>
      </c>
      <c r="E12" s="9">
        <v>0</v>
      </c>
      <c r="F12" s="10">
        <v>0</v>
      </c>
      <c r="G12" s="9">
        <v>0</v>
      </c>
      <c r="H12" s="10"/>
      <c r="I12" s="32"/>
      <c r="J12" s="32"/>
      <c r="K12" s="10">
        <v>0</v>
      </c>
      <c r="L12" s="10">
        <v>0</v>
      </c>
      <c r="M12" s="10">
        <v>0</v>
      </c>
      <c r="N12" s="10">
        <v>0</v>
      </c>
    </row>
    <row r="13" spans="1:14" ht="13.5" customHeight="1">
      <c r="A13" s="31"/>
      <c r="B13" s="31" t="s">
        <v>47</v>
      </c>
      <c r="C13" s="33" t="s">
        <v>48</v>
      </c>
      <c r="D13" s="8">
        <v>0</v>
      </c>
      <c r="E13" s="9">
        <v>0</v>
      </c>
      <c r="F13" s="10">
        <v>0</v>
      </c>
      <c r="G13" s="9">
        <v>0</v>
      </c>
      <c r="H13" s="10"/>
      <c r="I13" s="32"/>
      <c r="J13" s="32"/>
      <c r="K13" s="10">
        <v>0</v>
      </c>
      <c r="L13" s="10">
        <v>0</v>
      </c>
      <c r="M13" s="10">
        <v>0</v>
      </c>
      <c r="N13" s="10">
        <v>0</v>
      </c>
    </row>
    <row r="14" spans="1:14" ht="31.5">
      <c r="A14" s="31"/>
      <c r="B14" s="31" t="s">
        <v>49</v>
      </c>
      <c r="C14" s="31" t="s">
        <v>50</v>
      </c>
      <c r="D14" s="8">
        <f aca="true" t="shared" si="0" ref="D14:D16">F24+K14+L14+M14+N14</f>
        <v>0</v>
      </c>
      <c r="E14" s="9">
        <v>0</v>
      </c>
      <c r="F14" s="10">
        <v>0</v>
      </c>
      <c r="G14" s="9">
        <v>0</v>
      </c>
      <c r="H14" s="10"/>
      <c r="I14" s="32"/>
      <c r="J14" s="32"/>
      <c r="K14" s="10">
        <v>0</v>
      </c>
      <c r="L14" s="10">
        <v>0</v>
      </c>
      <c r="M14" s="10">
        <v>0</v>
      </c>
      <c r="N14" s="10">
        <v>0</v>
      </c>
    </row>
    <row r="15" spans="1:14" ht="31.5" customHeight="1">
      <c r="A15" s="31" t="s">
        <v>51</v>
      </c>
      <c r="B15" s="31" t="s">
        <v>52</v>
      </c>
      <c r="C15" s="31"/>
      <c r="D15" s="8">
        <f t="shared" si="0"/>
        <v>128220.334</v>
      </c>
      <c r="E15" s="9">
        <f>D15/D34</f>
        <v>0.8272718707463267</v>
      </c>
      <c r="F15" s="8">
        <f>SUM(F16:F19)</f>
        <v>31032.150999999998</v>
      </c>
      <c r="G15" s="9">
        <f>F25/F34</f>
        <v>0.040828457684363405</v>
      </c>
      <c r="H15" s="8"/>
      <c r="I15" s="8"/>
      <c r="J15" s="8"/>
      <c r="K15" s="8">
        <f>SUM(K16:K19)</f>
        <v>31032.150999999998</v>
      </c>
      <c r="L15" s="8">
        <f>SUM(L16:L19)</f>
        <v>31032.150999999998</v>
      </c>
      <c r="M15" s="8">
        <f>SUM(M16:M19)</f>
        <v>31032.150999999998</v>
      </c>
      <c r="N15" s="8">
        <f>SUM(N16:N19)</f>
        <v>31032.150999999998</v>
      </c>
    </row>
    <row r="16" spans="1:14" ht="17.25">
      <c r="A16" s="31"/>
      <c r="B16" s="31" t="s">
        <v>53</v>
      </c>
      <c r="C16" s="33" t="s">
        <v>54</v>
      </c>
      <c r="D16" s="8">
        <f t="shared" si="0"/>
        <v>85487.753</v>
      </c>
      <c r="E16" s="9">
        <f>D16/D34</f>
        <v>0.5515631658720364</v>
      </c>
      <c r="F16" s="10">
        <v>21093.606</v>
      </c>
      <c r="G16" s="9">
        <f>F26/F34</f>
        <v>0.011109116673210262</v>
      </c>
      <c r="H16" s="10"/>
      <c r="I16" s="32"/>
      <c r="J16" s="32"/>
      <c r="K16" s="10">
        <v>21093.606</v>
      </c>
      <c r="L16" s="10">
        <v>21093.606</v>
      </c>
      <c r="M16" s="10">
        <v>21093.606</v>
      </c>
      <c r="N16" s="10">
        <v>21093.606</v>
      </c>
    </row>
    <row r="17" spans="1:14" ht="14.25" customHeight="1">
      <c r="A17" s="31"/>
      <c r="B17" s="31" t="s">
        <v>55</v>
      </c>
      <c r="C17" s="33" t="s">
        <v>44</v>
      </c>
      <c r="D17" s="10">
        <v>0</v>
      </c>
      <c r="E17" s="9">
        <v>0</v>
      </c>
      <c r="F17" s="10">
        <v>0</v>
      </c>
      <c r="G17" s="9">
        <v>0</v>
      </c>
      <c r="H17" s="10"/>
      <c r="I17" s="32"/>
      <c r="J17" s="32"/>
      <c r="K17" s="10">
        <v>0</v>
      </c>
      <c r="L17" s="10">
        <v>0</v>
      </c>
      <c r="M17" s="10">
        <v>0</v>
      </c>
      <c r="N17" s="10">
        <v>0</v>
      </c>
    </row>
    <row r="18" spans="1:14" ht="14.25" customHeight="1">
      <c r="A18" s="31"/>
      <c r="B18" s="31" t="s">
        <v>56</v>
      </c>
      <c r="C18" s="33" t="s">
        <v>46</v>
      </c>
      <c r="D18" s="8">
        <f>F28+K18+L18+M18+N18</f>
        <v>4640.372</v>
      </c>
      <c r="E18" s="9">
        <f>D18/D34</f>
        <v>0.02993947298093042</v>
      </c>
      <c r="F18" s="10">
        <v>1160.093</v>
      </c>
      <c r="G18" s="9">
        <f>F28/F34</f>
        <v>0</v>
      </c>
      <c r="H18" s="10"/>
      <c r="I18" s="32"/>
      <c r="J18" s="32"/>
      <c r="K18" s="10">
        <v>1160.093</v>
      </c>
      <c r="L18" s="10">
        <v>1160.093</v>
      </c>
      <c r="M18" s="10">
        <v>1160.093</v>
      </c>
      <c r="N18" s="10">
        <v>1160.093</v>
      </c>
    </row>
    <row r="19" spans="1:14" ht="14.25" customHeight="1">
      <c r="A19" s="31"/>
      <c r="B19" s="31" t="s">
        <v>57</v>
      </c>
      <c r="C19" s="33" t="s">
        <v>48</v>
      </c>
      <c r="D19" s="8">
        <f aca="true" t="shared" si="1" ref="D19:D20">F19+K19+L19+M19+N19</f>
        <v>43892.259999999995</v>
      </c>
      <c r="E19" s="9">
        <f>D19/D34</f>
        <v>0.2831909020100054</v>
      </c>
      <c r="F19" s="10">
        <f>8099.46+678.992</f>
        <v>8778.452</v>
      </c>
      <c r="G19" s="9">
        <f>F19/F34</f>
        <v>0.08759391651360555</v>
      </c>
      <c r="H19" s="10"/>
      <c r="I19" s="32"/>
      <c r="J19" s="32"/>
      <c r="K19" s="10">
        <f>8099.46+678.992</f>
        <v>8778.452</v>
      </c>
      <c r="L19" s="10">
        <f>8099.46+678.992</f>
        <v>8778.452</v>
      </c>
      <c r="M19" s="10">
        <f>8099.46+678.992</f>
        <v>8778.452</v>
      </c>
      <c r="N19" s="10">
        <f>8099.46+678.992</f>
        <v>8778.452</v>
      </c>
    </row>
    <row r="20" spans="1:14" ht="22.5" customHeight="1">
      <c r="A20" s="31"/>
      <c r="B20" s="31" t="s">
        <v>58</v>
      </c>
      <c r="C20" s="31" t="s">
        <v>50</v>
      </c>
      <c r="D20" s="8">
        <f t="shared" si="1"/>
        <v>46805.775</v>
      </c>
      <c r="E20" s="9">
        <f>D20/D34</f>
        <v>0.3019887707201079</v>
      </c>
      <c r="F20" s="10">
        <f>8099.46+1018.989+242.706</f>
        <v>9361.155</v>
      </c>
      <c r="G20" s="9">
        <f>F20/F34</f>
        <v>0.09340829448528297</v>
      </c>
      <c r="H20" s="10"/>
      <c r="I20" s="32"/>
      <c r="J20" s="32"/>
      <c r="K20" s="10">
        <f>8099.46+1018.989+242.706</f>
        <v>9361.155</v>
      </c>
      <c r="L20" s="10">
        <f>8099.46+1018.989+242.706</f>
        <v>9361.155</v>
      </c>
      <c r="M20" s="10">
        <f>8099.46+1018.989+242.706</f>
        <v>9361.155</v>
      </c>
      <c r="N20" s="10">
        <f>8099.46+1018.989+242.706</f>
        <v>9361.155</v>
      </c>
    </row>
    <row r="21" spans="1:14" s="14" customFormat="1" ht="31.5" customHeight="1">
      <c r="A21" s="31" t="s">
        <v>59</v>
      </c>
      <c r="B21" s="34" t="s">
        <v>60</v>
      </c>
      <c r="C21" s="34"/>
      <c r="D21" s="8">
        <f>SUM(D22:D24)</f>
        <v>305725</v>
      </c>
      <c r="E21" s="9">
        <v>0</v>
      </c>
      <c r="F21" s="8">
        <f>SUM(F22:F24)</f>
        <v>61145</v>
      </c>
      <c r="G21" s="9">
        <v>0</v>
      </c>
      <c r="H21" s="8"/>
      <c r="I21" s="8"/>
      <c r="J21" s="8"/>
      <c r="K21" s="8">
        <f>SUM(K22:K24)</f>
        <v>61145</v>
      </c>
      <c r="L21" s="8">
        <f>SUM(L22:L24)</f>
        <v>61145</v>
      </c>
      <c r="M21" s="8">
        <f>SUM(M22:M24)</f>
        <v>61145</v>
      </c>
      <c r="N21" s="8">
        <f>SUM(N22:N24)</f>
        <v>61145</v>
      </c>
    </row>
    <row r="22" spans="1:14" s="14" customFormat="1" ht="18">
      <c r="A22" s="31"/>
      <c r="B22" s="31" t="s">
        <v>61</v>
      </c>
      <c r="C22" s="33" t="s">
        <v>42</v>
      </c>
      <c r="D22" s="8">
        <f>F22+K22+L22+M22+N22</f>
        <v>305725</v>
      </c>
      <c r="E22" s="9">
        <v>0</v>
      </c>
      <c r="F22" s="10">
        <v>61145</v>
      </c>
      <c r="G22" s="9">
        <v>0</v>
      </c>
      <c r="H22" s="10"/>
      <c r="I22" s="32"/>
      <c r="J22" s="10"/>
      <c r="K22" s="10">
        <v>61145</v>
      </c>
      <c r="L22" s="10">
        <v>61145</v>
      </c>
      <c r="M22" s="10">
        <v>61145</v>
      </c>
      <c r="N22" s="10">
        <v>61145</v>
      </c>
    </row>
    <row r="23" spans="1:14" s="14" customFormat="1" ht="17.25">
      <c r="A23" s="31"/>
      <c r="B23" s="31" t="s">
        <v>62</v>
      </c>
      <c r="C23" s="33" t="s">
        <v>44</v>
      </c>
      <c r="D23" s="8">
        <v>0</v>
      </c>
      <c r="E23" s="9">
        <v>0</v>
      </c>
      <c r="F23" s="10">
        <v>0</v>
      </c>
      <c r="G23" s="9">
        <v>0</v>
      </c>
      <c r="H23" s="10"/>
      <c r="I23" s="32"/>
      <c r="J23" s="10"/>
      <c r="K23" s="10">
        <v>0</v>
      </c>
      <c r="L23" s="10">
        <v>0</v>
      </c>
      <c r="M23" s="10">
        <v>0</v>
      </c>
      <c r="N23" s="10">
        <v>0</v>
      </c>
    </row>
    <row r="24" spans="1:14" s="14" customFormat="1" ht="17.25" customHeight="1">
      <c r="A24" s="31"/>
      <c r="B24" s="31" t="s">
        <v>63</v>
      </c>
      <c r="C24" s="33" t="s">
        <v>46</v>
      </c>
      <c r="D24" s="8">
        <f aca="true" t="shared" si="2" ref="D24:D26">F24+K24+L24+M24+N24</f>
        <v>0</v>
      </c>
      <c r="E24" s="9">
        <f>D24/D34</f>
        <v>0</v>
      </c>
      <c r="F24" s="10">
        <v>0</v>
      </c>
      <c r="G24" s="9">
        <f>F24/F34</f>
        <v>0</v>
      </c>
      <c r="H24" s="10"/>
      <c r="I24" s="32"/>
      <c r="J24" s="10"/>
      <c r="K24" s="10">
        <v>0</v>
      </c>
      <c r="L24" s="10">
        <v>0</v>
      </c>
      <c r="M24" s="10">
        <v>0</v>
      </c>
      <c r="N24" s="10">
        <v>0</v>
      </c>
    </row>
    <row r="25" spans="1:14" s="14" customFormat="1" ht="17.25" customHeight="1">
      <c r="A25" s="34" t="s">
        <v>64</v>
      </c>
      <c r="B25" s="31" t="s">
        <v>65</v>
      </c>
      <c r="C25" s="31"/>
      <c r="D25" s="8">
        <f t="shared" si="2"/>
        <v>20458.65</v>
      </c>
      <c r="E25" s="9">
        <f>D25/D34</f>
        <v>0.13199829645151553</v>
      </c>
      <c r="F25" s="8">
        <f>SUM(F26:F28)</f>
        <v>4091.73</v>
      </c>
      <c r="G25" s="9">
        <f>F25/F34</f>
        <v>0.040828457684363405</v>
      </c>
      <c r="H25" s="8"/>
      <c r="I25" s="8"/>
      <c r="J25" s="8"/>
      <c r="K25" s="8">
        <f>SUM(K26:K28)</f>
        <v>4091.73</v>
      </c>
      <c r="L25" s="8">
        <f>SUM(L26:L28)</f>
        <v>4091.73</v>
      </c>
      <c r="M25" s="8">
        <f>SUM(M26:M28)</f>
        <v>4091.73</v>
      </c>
      <c r="N25" s="8">
        <f>SUM(N26:N28)</f>
        <v>4091.73</v>
      </c>
    </row>
    <row r="26" spans="1:14" s="14" customFormat="1" ht="15.75">
      <c r="A26" s="34"/>
      <c r="B26" s="35" t="s">
        <v>66</v>
      </c>
      <c r="C26" s="33" t="s">
        <v>54</v>
      </c>
      <c r="D26" s="8">
        <f t="shared" si="2"/>
        <v>5566.645</v>
      </c>
      <c r="E26" s="9">
        <f>D26/D34</f>
        <v>0.035915745024737544</v>
      </c>
      <c r="F26" s="10">
        <v>1113.3290000000002</v>
      </c>
      <c r="G26" s="9">
        <f>F26/F34</f>
        <v>0.011109116673210262</v>
      </c>
      <c r="H26" s="10"/>
      <c r="I26" s="32"/>
      <c r="J26" s="10"/>
      <c r="K26" s="10">
        <f aca="true" t="shared" si="3" ref="K26:K27">F26</f>
        <v>1113.3290000000002</v>
      </c>
      <c r="L26" s="10">
        <f aca="true" t="shared" si="4" ref="L26:L27">F26</f>
        <v>1113.3290000000002</v>
      </c>
      <c r="M26" s="10">
        <f aca="true" t="shared" si="5" ref="M26:M27">F26</f>
        <v>1113.3290000000002</v>
      </c>
      <c r="N26" s="10">
        <f aca="true" t="shared" si="6" ref="N26:N27">F26</f>
        <v>1113.3290000000002</v>
      </c>
    </row>
    <row r="27" spans="1:14" s="14" customFormat="1" ht="15.75">
      <c r="A27" s="34"/>
      <c r="B27" s="35" t="s">
        <v>67</v>
      </c>
      <c r="C27" s="33" t="s">
        <v>44</v>
      </c>
      <c r="D27" s="8">
        <f>F26+K27+L27+M27+N27</f>
        <v>13026.932999999999</v>
      </c>
      <c r="E27" s="9">
        <f>D27/D34</f>
        <v>0.0840491901463699</v>
      </c>
      <c r="F27">
        <v>2978.401</v>
      </c>
      <c r="G27" s="9">
        <f>F26/F34</f>
        <v>0.011109116673210262</v>
      </c>
      <c r="H27" s="10"/>
      <c r="I27" s="32"/>
      <c r="J27" s="10"/>
      <c r="K27" s="10">
        <f t="shared" si="3"/>
        <v>2978.401</v>
      </c>
      <c r="L27" s="10">
        <f t="shared" si="4"/>
        <v>2978.401</v>
      </c>
      <c r="M27" s="10">
        <f t="shared" si="5"/>
        <v>2978.401</v>
      </c>
      <c r="N27" s="10">
        <f t="shared" si="6"/>
        <v>2978.401</v>
      </c>
    </row>
    <row r="28" spans="1:14" s="14" customFormat="1" ht="17.25">
      <c r="A28" s="34"/>
      <c r="B28" s="35" t="s">
        <v>68</v>
      </c>
      <c r="C28" s="33" t="s">
        <v>46</v>
      </c>
      <c r="D28" s="8">
        <f aca="true" t="shared" si="7" ref="D28:D33">F28+K28+L28+M28+N28</f>
        <v>0</v>
      </c>
      <c r="E28" s="9">
        <f>D28/D34</f>
        <v>0</v>
      </c>
      <c r="F28" s="10">
        <v>0</v>
      </c>
      <c r="G28" s="9">
        <f>F28/F34</f>
        <v>0</v>
      </c>
      <c r="H28" s="10"/>
      <c r="I28" s="32"/>
      <c r="J28" s="10"/>
      <c r="K28" s="10">
        <v>0</v>
      </c>
      <c r="L28" s="10">
        <v>0</v>
      </c>
      <c r="M28" s="10">
        <v>0</v>
      </c>
      <c r="N28" s="10">
        <v>0</v>
      </c>
    </row>
    <row r="29" spans="1:14" s="14" customFormat="1" ht="17.25" customHeight="1">
      <c r="A29" s="31" t="s">
        <v>69</v>
      </c>
      <c r="B29" s="31" t="s">
        <v>70</v>
      </c>
      <c r="C29" s="31"/>
      <c r="D29" s="8">
        <f t="shared" si="7"/>
        <v>11057.304999999998</v>
      </c>
      <c r="E29" s="9">
        <f>D29/D34</f>
        <v>0.07134123822172161</v>
      </c>
      <c r="F29" s="8">
        <f>SUM(F30:F32)</f>
        <v>2211.461</v>
      </c>
      <c r="G29" s="9">
        <f>F29/F34</f>
        <v>0.022066593313615504</v>
      </c>
      <c r="H29" s="8"/>
      <c r="I29" s="8"/>
      <c r="J29" s="8"/>
      <c r="K29" s="8">
        <f>SUM(K30:K32)</f>
        <v>2211.461</v>
      </c>
      <c r="L29" s="8">
        <f>SUM(L30:L32)</f>
        <v>2211.461</v>
      </c>
      <c r="M29" s="8">
        <f>SUM(M30:M32)</f>
        <v>2211.461</v>
      </c>
      <c r="N29" s="8">
        <f>SUM(N30:N32)</f>
        <v>2211.461</v>
      </c>
    </row>
    <row r="30" spans="1:14" s="14" customFormat="1" ht="17.25">
      <c r="A30" s="31"/>
      <c r="B30" s="31" t="s">
        <v>71</v>
      </c>
      <c r="C30" s="33" t="s">
        <v>54</v>
      </c>
      <c r="D30" s="8">
        <f t="shared" si="7"/>
        <v>0</v>
      </c>
      <c r="E30" s="9">
        <f>D30/D34</f>
        <v>0</v>
      </c>
      <c r="F30" s="10">
        <v>0</v>
      </c>
      <c r="G30" s="9">
        <f>F30/F34</f>
        <v>0</v>
      </c>
      <c r="H30" s="10"/>
      <c r="I30" s="32"/>
      <c r="J30" s="10"/>
      <c r="K30" s="10">
        <v>0</v>
      </c>
      <c r="L30" s="10">
        <v>0</v>
      </c>
      <c r="M30" s="10">
        <v>0</v>
      </c>
      <c r="N30" s="10">
        <v>0</v>
      </c>
    </row>
    <row r="31" spans="1:14" s="14" customFormat="1" ht="17.25">
      <c r="A31" s="31"/>
      <c r="B31" s="31" t="s">
        <v>72</v>
      </c>
      <c r="C31" s="33" t="s">
        <v>44</v>
      </c>
      <c r="D31" s="8">
        <f t="shared" si="7"/>
        <v>0</v>
      </c>
      <c r="E31" s="9">
        <f>D31/D34</f>
        <v>0</v>
      </c>
      <c r="F31" s="10">
        <v>0</v>
      </c>
      <c r="G31" s="9">
        <f>F31/F34</f>
        <v>0</v>
      </c>
      <c r="H31" s="10"/>
      <c r="I31" s="32"/>
      <c r="J31" s="10"/>
      <c r="K31" s="10">
        <v>0</v>
      </c>
      <c r="L31" s="10">
        <v>0</v>
      </c>
      <c r="M31" s="10">
        <v>0</v>
      </c>
      <c r="N31" s="10">
        <v>0</v>
      </c>
    </row>
    <row r="32" spans="1:14" s="14" customFormat="1" ht="18">
      <c r="A32" s="31"/>
      <c r="B32" s="31" t="s">
        <v>73</v>
      </c>
      <c r="C32" s="33" t="s">
        <v>46</v>
      </c>
      <c r="D32" s="8">
        <f t="shared" si="7"/>
        <v>11057.304999999998</v>
      </c>
      <c r="E32" s="9">
        <f>D32/D34</f>
        <v>0.07134123822172161</v>
      </c>
      <c r="F32" s="10">
        <v>2211.461</v>
      </c>
      <c r="G32" s="9">
        <f>F32/F34</f>
        <v>0.022066593313615504</v>
      </c>
      <c r="H32" s="10"/>
      <c r="I32" s="32"/>
      <c r="J32" s="10"/>
      <c r="K32" s="10">
        <v>2211.461</v>
      </c>
      <c r="L32" s="10">
        <v>2211.461</v>
      </c>
      <c r="M32" s="10">
        <v>2211.461</v>
      </c>
      <c r="N32" s="10">
        <v>2211.461</v>
      </c>
    </row>
    <row r="33" spans="1:14" ht="13.5" customHeight="1">
      <c r="A33" s="31" t="s">
        <v>74</v>
      </c>
      <c r="B33" s="31" t="s">
        <v>13</v>
      </c>
      <c r="C33" s="31"/>
      <c r="D33" s="8">
        <f t="shared" si="7"/>
        <v>2377.81</v>
      </c>
      <c r="E33" s="9">
        <f>D33/D34</f>
        <v>0.015341523965920437</v>
      </c>
      <c r="F33" s="10">
        <f>736.683-261.121</f>
        <v>475.562</v>
      </c>
      <c r="G33" s="9">
        <f>F33/F34</f>
        <v>0.004745294287084248</v>
      </c>
      <c r="H33" s="10"/>
      <c r="I33" s="32"/>
      <c r="J33" s="32"/>
      <c r="K33" s="10">
        <f>F33</f>
        <v>475.562</v>
      </c>
      <c r="L33" s="10">
        <f>F33</f>
        <v>475.562</v>
      </c>
      <c r="M33" s="10">
        <f>F33</f>
        <v>475.562</v>
      </c>
      <c r="N33" s="10">
        <f>F33</f>
        <v>475.562</v>
      </c>
    </row>
    <row r="34" spans="1:14" ht="13.5" customHeight="1">
      <c r="A34" s="31" t="s">
        <v>14</v>
      </c>
      <c r="B34" s="31"/>
      <c r="C34" s="31"/>
      <c r="D34" s="8">
        <f>D16+D18+D19+D24+D26+D27+D28+D33</f>
        <v>154991.773</v>
      </c>
      <c r="E34" s="9">
        <f>E16+E18+E19+E24+E26+E27+E28+E33</f>
        <v>1</v>
      </c>
      <c r="F34" s="8">
        <f>F33+F8+1018.989+242.706+0.15</f>
        <v>100217.599</v>
      </c>
      <c r="G34" s="9">
        <v>1</v>
      </c>
      <c r="H34" s="8"/>
      <c r="I34" s="32"/>
      <c r="J34" s="32"/>
      <c r="K34" s="8">
        <f>K33+K8+1018.989+242.706+0.15</f>
        <v>100217.599</v>
      </c>
      <c r="L34" s="8">
        <f>L33+L8+1018.989+242.706+0.15</f>
        <v>100217.599</v>
      </c>
      <c r="M34" s="8">
        <f>M33+M8+1018.989+242.706+0.15</f>
        <v>100217.599</v>
      </c>
      <c r="N34" s="8">
        <f>N33+N8+1018.989+242.706+0.15</f>
        <v>100217.599</v>
      </c>
    </row>
    <row r="36" ht="15.75"/>
    <row r="37" ht="15.75"/>
    <row r="39" ht="15.75"/>
    <row r="40" ht="15.75"/>
  </sheetData>
  <sheetProtection selectLockedCells="1" selectUnlockedCells="1"/>
  <mergeCells count="30">
    <mergeCell ref="A1:N1"/>
    <mergeCell ref="A2:A6"/>
    <mergeCell ref="B2:C6"/>
    <mergeCell ref="D2:E3"/>
    <mergeCell ref="F2:N2"/>
    <mergeCell ref="F3:J3"/>
    <mergeCell ref="D4:D6"/>
    <mergeCell ref="E4:E6"/>
    <mergeCell ref="F4:G5"/>
    <mergeCell ref="H4:J4"/>
    <mergeCell ref="K4:K6"/>
    <mergeCell ref="L4:L6"/>
    <mergeCell ref="M4:M6"/>
    <mergeCell ref="N4:N6"/>
    <mergeCell ref="H5:I5"/>
    <mergeCell ref="J5:J6"/>
    <mergeCell ref="B7:C7"/>
    <mergeCell ref="B8:C8"/>
    <mergeCell ref="A9:A14"/>
    <mergeCell ref="B9:C9"/>
    <mergeCell ref="A15:A20"/>
    <mergeCell ref="B15:C15"/>
    <mergeCell ref="A21:A24"/>
    <mergeCell ref="B21:C21"/>
    <mergeCell ref="A25:A28"/>
    <mergeCell ref="B25:C25"/>
    <mergeCell ref="A29:A32"/>
    <mergeCell ref="B29:C29"/>
    <mergeCell ref="B33:C33"/>
    <mergeCell ref="A34:C34"/>
  </mergeCells>
  <printOptions horizontalCentered="1"/>
  <pageMargins left="0.21666666666666667" right="0.21666666666666667" top="0.45" bottom="0.21666666666666667" header="0.5118055555555555" footer="0.5118055555555555"/>
  <pageSetup horizontalDpi="300" verticalDpi="300" orientation="landscape" paperSize="9" scale="78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zoomScale="75" zoomScaleNormal="75" workbookViewId="0" topLeftCell="A1">
      <selection activeCell="B13" sqref="B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zoomScale="75" zoomScaleNormal="75" workbookViewId="0" topLeftCell="A19">
      <selection activeCell="I25" sqref="I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1"/>
  <sheetViews>
    <sheetView zoomScale="75" zoomScaleNormal="75" workbookViewId="0" topLeftCell="A1">
      <selection activeCell="G16" sqref="G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A1"/>
  <sheetViews>
    <sheetView zoomScale="75" zoomScaleNormal="75" workbookViewId="0" topLeftCell="A1">
      <pane ySplit="6" topLeftCell="A7" activePane="bottomLeft" state="frozen"/>
      <selection pane="topLeft" activeCell="A1" sqref="A1"/>
      <selection pane="bottomLeft" activeCell="N18" sqref="N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A1"/>
  <sheetViews>
    <sheetView zoomScale="73" zoomScaleNormal="73" workbookViewId="0" topLeftCell="D34">
      <selection activeCell="A20" sqref="A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A1"/>
  <sheetViews>
    <sheetView zoomScale="75" zoomScaleNormal="75" workbookViewId="0" topLeftCell="A1">
      <selection activeCell="N8" sqref="N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A1"/>
  <sheetViews>
    <sheetView zoomScale="75" zoomScaleNormal="75" workbookViewId="0" topLeftCell="A19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A1"/>
  <sheetViews>
    <sheetView zoomScale="75" zoomScaleNormal="75" workbookViewId="0" topLeftCell="A1">
      <pane ySplit="6" topLeftCell="A13" activePane="bottomLeft" state="frozen"/>
      <selection pane="topLeft" activeCell="A1" sqref="A1"/>
      <selection pane="bottomLeft" activeCell="E13" sqref="E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A1"/>
  <sheetViews>
    <sheetView zoomScale="75" zoomScaleNormal="75" workbookViewId="0" topLeftCell="A1">
      <selection activeCell="B13" sqref="B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A1"/>
  <sheetViews>
    <sheetView zoomScale="75" zoomScaleNormal="75" workbookViewId="0" topLeftCell="A19">
      <selection activeCell="I25" sqref="I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43"/>
  </sheetPr>
  <dimension ref="A1:R179"/>
  <sheetViews>
    <sheetView zoomScale="75" zoomScaleNormal="75" workbookViewId="0" topLeftCell="A59">
      <selection activeCell="G71" sqref="G71"/>
    </sheetView>
  </sheetViews>
  <sheetFormatPr defaultColWidth="9.140625" defaultRowHeight="7.5" customHeight="1"/>
  <cols>
    <col min="1" max="1" width="10.00390625" style="14" customWidth="1"/>
    <col min="2" max="2" width="14.00390625" style="14" customWidth="1"/>
    <col min="3" max="3" width="43.421875" style="14" customWidth="1"/>
    <col min="4" max="4" width="26.57421875" style="14" customWidth="1"/>
    <col min="5" max="5" width="15.28125" style="14" customWidth="1"/>
    <col min="6" max="6" width="20.00390625" style="14" customWidth="1"/>
    <col min="7" max="7" width="19.8515625" style="14" customWidth="1"/>
    <col min="8" max="8" width="17.7109375" style="14" customWidth="1"/>
    <col min="9" max="9" width="22.00390625" style="14" customWidth="1"/>
    <col min="10" max="10" width="9.57421875" style="14" customWidth="1"/>
    <col min="11" max="12" width="0" style="14" hidden="1" customWidth="1"/>
    <col min="13" max="16384" width="9.140625" style="14" customWidth="1"/>
  </cols>
  <sheetData>
    <row r="1" spans="1:18" ht="37.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36"/>
      <c r="L1" s="36"/>
      <c r="M1" s="36"/>
      <c r="N1" s="36"/>
      <c r="O1" s="36"/>
      <c r="P1" s="36"/>
      <c r="Q1" s="36"/>
      <c r="R1" s="36"/>
    </row>
    <row r="2" spans="1:10" ht="36.75" customHeight="1">
      <c r="A2" s="3" t="s">
        <v>1</v>
      </c>
      <c r="B2" s="3" t="s">
        <v>76</v>
      </c>
      <c r="C2" s="3" t="s">
        <v>77</v>
      </c>
      <c r="D2" s="3" t="s">
        <v>78</v>
      </c>
      <c r="E2" s="5" t="s">
        <v>79</v>
      </c>
      <c r="F2" s="5"/>
      <c r="G2" s="5" t="s">
        <v>80</v>
      </c>
      <c r="H2" s="5" t="s">
        <v>81</v>
      </c>
      <c r="I2" s="5" t="s">
        <v>82</v>
      </c>
      <c r="J2" s="4" t="s">
        <v>83</v>
      </c>
    </row>
    <row r="3" spans="1:10" ht="36.75" customHeight="1">
      <c r="A3" s="3"/>
      <c r="B3" s="3"/>
      <c r="C3" s="3"/>
      <c r="D3" s="3"/>
      <c r="E3" s="5" t="s">
        <v>84</v>
      </c>
      <c r="F3" s="37" t="s">
        <v>85</v>
      </c>
      <c r="G3" s="5"/>
      <c r="H3" s="5"/>
      <c r="I3" s="5"/>
      <c r="J3" s="4"/>
    </row>
    <row r="4" spans="1:10" ht="17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8">
        <v>6</v>
      </c>
      <c r="G4" s="3">
        <v>7</v>
      </c>
      <c r="H4" s="3">
        <v>8</v>
      </c>
      <c r="I4" s="3">
        <v>9</v>
      </c>
      <c r="J4" s="39">
        <v>10</v>
      </c>
    </row>
    <row r="5" spans="1:10" ht="17.25" customHeight="1">
      <c r="A5" s="31" t="s">
        <v>37</v>
      </c>
      <c r="B5" s="40"/>
      <c r="C5" s="41" t="s">
        <v>86</v>
      </c>
      <c r="D5" s="42">
        <f>D6+D8</f>
        <v>2558.742269892063</v>
      </c>
      <c r="E5" s="42">
        <f>E8</f>
        <v>8.24374</v>
      </c>
      <c r="F5" s="43">
        <f>F8</f>
        <v>21093.606</v>
      </c>
      <c r="G5" s="44"/>
      <c r="H5" s="44"/>
      <c r="I5" s="44"/>
      <c r="J5" s="45"/>
    </row>
    <row r="6" spans="1:10" ht="17.25" customHeight="1">
      <c r="A6" s="31" t="s">
        <v>39</v>
      </c>
      <c r="B6" s="40"/>
      <c r="C6" s="46" t="s">
        <v>87</v>
      </c>
      <c r="D6" s="47">
        <v>0</v>
      </c>
      <c r="E6" s="48">
        <v>0</v>
      </c>
      <c r="F6" s="49">
        <v>0</v>
      </c>
      <c r="G6" s="44"/>
      <c r="H6" s="44"/>
      <c r="I6" s="44"/>
      <c r="J6" s="45"/>
    </row>
    <row r="7" spans="1:10" ht="17.25" customHeight="1">
      <c r="A7" s="31" t="s">
        <v>41</v>
      </c>
      <c r="B7" s="40"/>
      <c r="C7" s="46"/>
      <c r="D7" s="47" t="s">
        <v>88</v>
      </c>
      <c r="E7" s="50" t="s">
        <v>88</v>
      </c>
      <c r="F7" s="51" t="s">
        <v>88</v>
      </c>
      <c r="G7" s="52"/>
      <c r="H7" s="52"/>
      <c r="I7" s="52"/>
      <c r="J7" s="45"/>
    </row>
    <row r="8" spans="1:10" ht="17.25" customHeight="1">
      <c r="A8" s="31" t="s">
        <v>51</v>
      </c>
      <c r="B8" s="40"/>
      <c r="C8" s="46" t="s">
        <v>89</v>
      </c>
      <c r="D8" s="47">
        <f>D9</f>
        <v>2558.742269892063</v>
      </c>
      <c r="E8" s="53">
        <f>E9</f>
        <v>8.24374</v>
      </c>
      <c r="F8" s="54">
        <f>F9</f>
        <v>21093.606</v>
      </c>
      <c r="G8" s="52"/>
      <c r="H8" s="52"/>
      <c r="I8" s="52"/>
      <c r="J8" s="45"/>
    </row>
    <row r="9" spans="1:10" ht="19.5" customHeight="1">
      <c r="A9" s="31" t="s">
        <v>53</v>
      </c>
      <c r="B9" s="55" t="s">
        <v>90</v>
      </c>
      <c r="C9" s="56" t="s">
        <v>91</v>
      </c>
      <c r="D9" s="57">
        <f>F9/E9</f>
        <v>2558.742269892063</v>
      </c>
      <c r="E9" s="53">
        <v>8.24374</v>
      </c>
      <c r="F9" s="58">
        <v>21093.606</v>
      </c>
      <c r="G9" s="59" t="s">
        <v>92</v>
      </c>
      <c r="H9" s="60" t="s">
        <v>93</v>
      </c>
      <c r="I9" s="52"/>
      <c r="J9" s="45"/>
    </row>
    <row r="10" spans="1:10" ht="17.25" customHeight="1">
      <c r="A10" s="31" t="s">
        <v>74</v>
      </c>
      <c r="B10" s="40"/>
      <c r="C10" s="41" t="s">
        <v>94</v>
      </c>
      <c r="D10" s="42">
        <v>0</v>
      </c>
      <c r="E10" s="61">
        <v>0</v>
      </c>
      <c r="F10" s="62">
        <v>0</v>
      </c>
      <c r="G10" s="44"/>
      <c r="H10" s="44"/>
      <c r="I10" s="44"/>
      <c r="J10" s="45"/>
    </row>
    <row r="11" spans="1:10" ht="17.25" customHeight="1">
      <c r="A11" s="31" t="s">
        <v>95</v>
      </c>
      <c r="B11" s="40"/>
      <c r="C11" s="46" t="s">
        <v>87</v>
      </c>
      <c r="D11" s="47">
        <v>0</v>
      </c>
      <c r="E11" s="48">
        <v>0</v>
      </c>
      <c r="F11" s="49">
        <v>0</v>
      </c>
      <c r="G11" s="44"/>
      <c r="H11" s="44"/>
      <c r="I11" s="44"/>
      <c r="J11" s="45"/>
    </row>
    <row r="12" spans="1:10" ht="17.25" customHeight="1">
      <c r="A12" s="31" t="s">
        <v>96</v>
      </c>
      <c r="B12" s="40"/>
      <c r="C12" s="46"/>
      <c r="D12" s="47" t="s">
        <v>88</v>
      </c>
      <c r="E12" s="50" t="s">
        <v>88</v>
      </c>
      <c r="F12" s="51" t="s">
        <v>88</v>
      </c>
      <c r="G12" s="52"/>
      <c r="H12" s="52"/>
      <c r="I12" s="52"/>
      <c r="J12" s="45"/>
    </row>
    <row r="13" spans="1:10" ht="17.25" customHeight="1">
      <c r="A13" s="31" t="s">
        <v>97</v>
      </c>
      <c r="B13" s="40"/>
      <c r="C13" s="46" t="s">
        <v>89</v>
      </c>
      <c r="D13" s="47">
        <v>0</v>
      </c>
      <c r="E13" s="50">
        <v>0</v>
      </c>
      <c r="F13" s="51">
        <v>0</v>
      </c>
      <c r="G13" s="52"/>
      <c r="H13" s="52"/>
      <c r="I13" s="52"/>
      <c r="J13" s="45"/>
    </row>
    <row r="14" spans="1:10" ht="17.25" customHeight="1">
      <c r="A14" s="31" t="s">
        <v>98</v>
      </c>
      <c r="B14" s="40"/>
      <c r="C14" s="45"/>
      <c r="D14" s="63" t="s">
        <v>88</v>
      </c>
      <c r="E14" s="50" t="s">
        <v>88</v>
      </c>
      <c r="F14" s="51" t="s">
        <v>88</v>
      </c>
      <c r="G14" s="52"/>
      <c r="H14" s="52"/>
      <c r="I14" s="52"/>
      <c r="J14" s="45"/>
    </row>
    <row r="15" spans="1:10" ht="17.25" customHeight="1">
      <c r="A15" s="31" t="s">
        <v>99</v>
      </c>
      <c r="B15" s="40"/>
      <c r="C15" s="41" t="s">
        <v>100</v>
      </c>
      <c r="D15" s="42">
        <v>0</v>
      </c>
      <c r="E15" s="61">
        <v>0</v>
      </c>
      <c r="F15" s="62">
        <v>0</v>
      </c>
      <c r="G15" s="44"/>
      <c r="H15" s="44"/>
      <c r="I15" s="44"/>
      <c r="J15" s="45"/>
    </row>
    <row r="16" spans="1:10" ht="17.25" customHeight="1">
      <c r="A16" s="31" t="s">
        <v>101</v>
      </c>
      <c r="B16" s="40"/>
      <c r="C16" s="46" t="s">
        <v>87</v>
      </c>
      <c r="D16" s="47">
        <v>0</v>
      </c>
      <c r="E16" s="48">
        <v>0</v>
      </c>
      <c r="F16" s="49">
        <v>0</v>
      </c>
      <c r="G16" s="44"/>
      <c r="H16" s="44"/>
      <c r="I16" s="44"/>
      <c r="J16" s="45"/>
    </row>
    <row r="17" spans="1:10" ht="17.25" customHeight="1">
      <c r="A17" s="31" t="s">
        <v>102</v>
      </c>
      <c r="B17" s="40"/>
      <c r="C17" s="46"/>
      <c r="D17" s="47" t="s">
        <v>88</v>
      </c>
      <c r="E17" s="50" t="s">
        <v>88</v>
      </c>
      <c r="F17" s="51" t="s">
        <v>88</v>
      </c>
      <c r="G17" s="52"/>
      <c r="H17" s="52"/>
      <c r="I17" s="52"/>
      <c r="J17" s="45"/>
    </row>
    <row r="18" spans="1:10" ht="17.25" customHeight="1">
      <c r="A18" s="31" t="s">
        <v>103</v>
      </c>
      <c r="B18" s="40"/>
      <c r="C18" s="46" t="s">
        <v>89</v>
      </c>
      <c r="D18" s="47">
        <v>0</v>
      </c>
      <c r="E18" s="50">
        <v>0</v>
      </c>
      <c r="F18" s="51">
        <v>0</v>
      </c>
      <c r="G18" s="52"/>
      <c r="H18" s="52"/>
      <c r="I18" s="52"/>
      <c r="J18" s="45"/>
    </row>
    <row r="19" spans="1:10" ht="31.5" customHeight="1">
      <c r="A19" s="31" t="s">
        <v>104</v>
      </c>
      <c r="B19" s="40"/>
      <c r="C19" s="46" t="s">
        <v>105</v>
      </c>
      <c r="D19" s="47">
        <v>0</v>
      </c>
      <c r="E19" s="50">
        <v>0</v>
      </c>
      <c r="F19" s="51">
        <v>0</v>
      </c>
      <c r="G19" s="52"/>
      <c r="H19" s="52"/>
      <c r="I19" s="52"/>
      <c r="J19" s="45"/>
    </row>
    <row r="20" spans="1:10" ht="17.25" customHeight="1">
      <c r="A20" s="31" t="s">
        <v>106</v>
      </c>
      <c r="B20" s="40"/>
      <c r="C20" s="45"/>
      <c r="D20" s="63" t="s">
        <v>88</v>
      </c>
      <c r="E20" s="50" t="s">
        <v>88</v>
      </c>
      <c r="F20" s="51" t="s">
        <v>88</v>
      </c>
      <c r="G20" s="52"/>
      <c r="H20" s="52"/>
      <c r="I20" s="52"/>
      <c r="J20" s="45"/>
    </row>
    <row r="21" spans="1:10" ht="31.5" customHeight="1">
      <c r="A21" s="31" t="s">
        <v>107</v>
      </c>
      <c r="B21" s="40"/>
      <c r="C21" s="46" t="s">
        <v>108</v>
      </c>
      <c r="D21" s="47">
        <v>0</v>
      </c>
      <c r="E21" s="50">
        <v>0</v>
      </c>
      <c r="F21" s="51">
        <v>0</v>
      </c>
      <c r="G21" s="52"/>
      <c r="H21" s="52"/>
      <c r="I21" s="52"/>
      <c r="J21" s="45"/>
    </row>
    <row r="22" spans="1:10" ht="17.25" customHeight="1">
      <c r="A22" s="31" t="s">
        <v>109</v>
      </c>
      <c r="B22" s="40"/>
      <c r="C22" s="46"/>
      <c r="D22" s="47" t="s">
        <v>88</v>
      </c>
      <c r="E22" s="50" t="s">
        <v>88</v>
      </c>
      <c r="F22" s="51" t="s">
        <v>88</v>
      </c>
      <c r="G22" s="52"/>
      <c r="H22" s="52"/>
      <c r="I22" s="52"/>
      <c r="J22" s="45"/>
    </row>
    <row r="23" spans="1:10" ht="17.25" customHeight="1">
      <c r="A23" s="31" t="s">
        <v>110</v>
      </c>
      <c r="B23" s="40"/>
      <c r="C23" s="41" t="s">
        <v>111</v>
      </c>
      <c r="D23" s="42">
        <f>D24+D29</f>
        <v>512.4294571681639</v>
      </c>
      <c r="E23" s="42">
        <f>E24+E29</f>
        <v>15.806000000000001</v>
      </c>
      <c r="F23" s="43">
        <f>F24+F29+F38+F39</f>
        <v>9361.1552</v>
      </c>
      <c r="G23" s="44"/>
      <c r="H23" s="44"/>
      <c r="I23" s="44"/>
      <c r="J23" s="45"/>
    </row>
    <row r="24" spans="1:10" ht="17.25" customHeight="1">
      <c r="A24" s="31" t="s">
        <v>112</v>
      </c>
      <c r="B24" s="40"/>
      <c r="C24" s="46" t="s">
        <v>87</v>
      </c>
      <c r="D24" s="47">
        <v>0</v>
      </c>
      <c r="E24" s="48">
        <v>0</v>
      </c>
      <c r="F24" s="49">
        <v>0</v>
      </c>
      <c r="G24" s="44"/>
      <c r="H24" s="44"/>
      <c r="I24" s="44"/>
      <c r="J24" s="45"/>
    </row>
    <row r="25" spans="1:10" ht="17.25" customHeight="1">
      <c r="A25" s="31" t="s">
        <v>113</v>
      </c>
      <c r="B25" s="40"/>
      <c r="C25" s="46" t="s">
        <v>114</v>
      </c>
      <c r="D25" s="47">
        <v>0</v>
      </c>
      <c r="E25" s="48">
        <v>0</v>
      </c>
      <c r="F25" s="49">
        <v>0</v>
      </c>
      <c r="G25" s="44"/>
      <c r="H25" s="44"/>
      <c r="I25" s="44"/>
      <c r="J25" s="45"/>
    </row>
    <row r="26" spans="1:10" ht="17.25" customHeight="1">
      <c r="A26" s="31" t="s">
        <v>115</v>
      </c>
      <c r="B26" s="40"/>
      <c r="C26" s="46"/>
      <c r="D26" s="47" t="s">
        <v>88</v>
      </c>
      <c r="E26" s="50" t="s">
        <v>88</v>
      </c>
      <c r="F26" s="51" t="s">
        <v>88</v>
      </c>
      <c r="G26" s="52"/>
      <c r="H26" s="52"/>
      <c r="I26" s="52"/>
      <c r="J26" s="45"/>
    </row>
    <row r="27" spans="1:10" ht="31.5" customHeight="1">
      <c r="A27" s="31" t="s">
        <v>116</v>
      </c>
      <c r="B27" s="40"/>
      <c r="C27" s="46" t="s">
        <v>117</v>
      </c>
      <c r="D27" s="47">
        <v>0</v>
      </c>
      <c r="E27" s="50">
        <v>0</v>
      </c>
      <c r="F27" s="51">
        <v>0</v>
      </c>
      <c r="G27" s="52"/>
      <c r="H27" s="52"/>
      <c r="I27" s="52"/>
      <c r="J27" s="45"/>
    </row>
    <row r="28" spans="1:10" ht="17.25" customHeight="1">
      <c r="A28" s="31" t="s">
        <v>118</v>
      </c>
      <c r="B28" s="40"/>
      <c r="C28" s="46"/>
      <c r="D28" s="47" t="s">
        <v>88</v>
      </c>
      <c r="E28" s="50" t="s">
        <v>88</v>
      </c>
      <c r="F28" s="51" t="s">
        <v>88</v>
      </c>
      <c r="G28" s="52"/>
      <c r="H28" s="52"/>
      <c r="I28" s="52"/>
      <c r="J28" s="45"/>
    </row>
    <row r="29" spans="1:10" ht="17.25" customHeight="1">
      <c r="A29" s="31" t="s">
        <v>119</v>
      </c>
      <c r="B29" s="40"/>
      <c r="C29" s="46" t="s">
        <v>89</v>
      </c>
      <c r="D29" s="47">
        <f>D30+D32</f>
        <v>512.4294571681639</v>
      </c>
      <c r="E29" s="47">
        <f>E30+E32</f>
        <v>15.806000000000001</v>
      </c>
      <c r="F29" s="54">
        <f>F30+F32</f>
        <v>8099.459999999999</v>
      </c>
      <c r="G29" s="52"/>
      <c r="H29" s="52"/>
      <c r="I29" s="52"/>
      <c r="J29" s="45"/>
    </row>
    <row r="30" spans="1:10" ht="31.5" customHeight="1">
      <c r="A30" s="31" t="s">
        <v>120</v>
      </c>
      <c r="B30" s="40"/>
      <c r="C30" s="46" t="s">
        <v>121</v>
      </c>
      <c r="D30" s="50">
        <v>0</v>
      </c>
      <c r="E30" s="50">
        <v>0</v>
      </c>
      <c r="F30" s="51">
        <v>0</v>
      </c>
      <c r="G30" s="52"/>
      <c r="H30" s="52"/>
      <c r="I30" s="52"/>
      <c r="J30" s="45"/>
    </row>
    <row r="31" spans="1:10" ht="17.25" customHeight="1">
      <c r="A31" s="31" t="s">
        <v>122</v>
      </c>
      <c r="B31" s="40"/>
      <c r="C31" s="45"/>
      <c r="D31" s="63" t="s">
        <v>88</v>
      </c>
      <c r="E31" s="50" t="s">
        <v>88</v>
      </c>
      <c r="F31" s="51" t="s">
        <v>88</v>
      </c>
      <c r="G31" s="52"/>
      <c r="H31" s="52"/>
      <c r="I31" s="52"/>
      <c r="J31" s="45"/>
    </row>
    <row r="32" spans="1:10" ht="31.5" customHeight="1">
      <c r="A32" s="31" t="s">
        <v>123</v>
      </c>
      <c r="B32" s="40"/>
      <c r="C32" s="46" t="s">
        <v>124</v>
      </c>
      <c r="D32" s="50">
        <f>F32/E32</f>
        <v>512.4294571681639</v>
      </c>
      <c r="E32" s="50">
        <f>SUM(E33:E37)</f>
        <v>15.806000000000001</v>
      </c>
      <c r="F32" s="51">
        <f>SUM(F33:F37)</f>
        <v>8099.459999999999</v>
      </c>
      <c r="G32" s="52"/>
      <c r="H32" s="52"/>
      <c r="I32" s="52"/>
      <c r="J32" s="45"/>
    </row>
    <row r="33" spans="1:10" s="70" customFormat="1" ht="18.75" customHeight="1">
      <c r="A33" s="64"/>
      <c r="B33" s="65"/>
      <c r="C33" s="66" t="s">
        <v>125</v>
      </c>
      <c r="D33" s="50"/>
      <c r="E33" s="50"/>
      <c r="F33" s="51"/>
      <c r="G33" s="67"/>
      <c r="H33" s="68"/>
      <c r="I33" s="69"/>
      <c r="J33" s="69"/>
    </row>
    <row r="34" spans="1:10" s="70" customFormat="1" ht="31.5" customHeight="1">
      <c r="A34" s="31" t="s">
        <v>126</v>
      </c>
      <c r="B34" s="65" t="s">
        <v>127</v>
      </c>
      <c r="C34" s="71" t="s">
        <v>128</v>
      </c>
      <c r="D34" s="50">
        <f aca="true" t="shared" si="0" ref="D34:D37">F34/E34</f>
        <v>463.6881493220637</v>
      </c>
      <c r="E34" s="50">
        <v>5.679</v>
      </c>
      <c r="F34" s="51">
        <v>2633.285</v>
      </c>
      <c r="G34" s="67" t="s">
        <v>92</v>
      </c>
      <c r="H34" s="68" t="s">
        <v>93</v>
      </c>
      <c r="I34" s="69"/>
      <c r="J34" s="69"/>
    </row>
    <row r="35" spans="1:10" s="70" customFormat="1" ht="19.5" customHeight="1">
      <c r="A35" s="31" t="s">
        <v>129</v>
      </c>
      <c r="B35" s="65" t="s">
        <v>130</v>
      </c>
      <c r="C35" s="71" t="s">
        <v>131</v>
      </c>
      <c r="D35" s="50">
        <f t="shared" si="0"/>
        <v>468.18658122879754</v>
      </c>
      <c r="E35" s="50">
        <v>2.653</v>
      </c>
      <c r="F35" s="72">
        <v>1242.099</v>
      </c>
      <c r="G35" s="67" t="s">
        <v>92</v>
      </c>
      <c r="H35" s="68" t="s">
        <v>93</v>
      </c>
      <c r="I35" s="69"/>
      <c r="J35" s="69"/>
    </row>
    <row r="36" spans="1:10" s="70" customFormat="1" ht="19.5" customHeight="1">
      <c r="A36" s="31" t="s">
        <v>132</v>
      </c>
      <c r="B36" s="65" t="s">
        <v>133</v>
      </c>
      <c r="C36" s="71" t="s">
        <v>134</v>
      </c>
      <c r="D36" s="50">
        <f t="shared" si="0"/>
        <v>541.4960613598673</v>
      </c>
      <c r="E36" s="50">
        <v>4.824</v>
      </c>
      <c r="F36" s="72">
        <v>2612.177</v>
      </c>
      <c r="G36" s="67" t="s">
        <v>92</v>
      </c>
      <c r="H36" s="68" t="s">
        <v>93</v>
      </c>
      <c r="I36" s="69"/>
      <c r="J36" s="69"/>
    </row>
    <row r="37" spans="1:10" s="70" customFormat="1" ht="19.5" customHeight="1">
      <c r="A37" s="31" t="s">
        <v>135</v>
      </c>
      <c r="B37" s="65" t="s">
        <v>136</v>
      </c>
      <c r="C37" s="71" t="s">
        <v>137</v>
      </c>
      <c r="D37" s="50">
        <f t="shared" si="0"/>
        <v>608.2637735849056</v>
      </c>
      <c r="E37" s="50">
        <v>2.65</v>
      </c>
      <c r="F37" s="72">
        <v>1611.899</v>
      </c>
      <c r="G37" s="67" t="s">
        <v>92</v>
      </c>
      <c r="H37" s="68" t="s">
        <v>93</v>
      </c>
      <c r="I37" s="69"/>
      <c r="J37" s="69"/>
    </row>
    <row r="38" spans="1:10" s="70" customFormat="1" ht="59.25" customHeight="1">
      <c r="A38" s="31" t="s">
        <v>138</v>
      </c>
      <c r="B38" s="65"/>
      <c r="C38" s="73" t="s">
        <v>139</v>
      </c>
      <c r="D38" s="74">
        <v>0.7008</v>
      </c>
      <c r="E38" s="75">
        <v>1455</v>
      </c>
      <c r="F38" s="76">
        <f>D38*E38-0.6748</f>
        <v>1018.9892</v>
      </c>
      <c r="G38" s="77" t="s">
        <v>92</v>
      </c>
      <c r="H38" s="68" t="s">
        <v>140</v>
      </c>
      <c r="I38" s="69"/>
      <c r="J38" s="69"/>
    </row>
    <row r="39" spans="1:10" s="70" customFormat="1" ht="59.25" customHeight="1">
      <c r="A39" s="31" t="s">
        <v>141</v>
      </c>
      <c r="B39" s="65"/>
      <c r="C39" s="73" t="s">
        <v>142</v>
      </c>
      <c r="D39" s="74">
        <v>1.21353</v>
      </c>
      <c r="E39" s="75">
        <v>200</v>
      </c>
      <c r="F39" s="76">
        <f>E39*D39</f>
        <v>242.706</v>
      </c>
      <c r="G39" s="77" t="s">
        <v>92</v>
      </c>
      <c r="H39" s="68" t="s">
        <v>140</v>
      </c>
      <c r="I39" s="69"/>
      <c r="J39" s="69"/>
    </row>
    <row r="40" spans="1:10" ht="17.25" customHeight="1">
      <c r="A40" s="3">
        <v>5</v>
      </c>
      <c r="B40" s="78"/>
      <c r="C40" s="79" t="s">
        <v>143</v>
      </c>
      <c r="D40" s="42">
        <v>0</v>
      </c>
      <c r="E40" s="80">
        <v>0</v>
      </c>
      <c r="F40" s="62">
        <v>0</v>
      </c>
      <c r="G40" s="81"/>
      <c r="H40" s="81"/>
      <c r="I40" s="44"/>
      <c r="J40" s="44"/>
    </row>
    <row r="41" spans="1:10" ht="17.25" customHeight="1">
      <c r="A41" s="31" t="s">
        <v>144</v>
      </c>
      <c r="B41" s="82"/>
      <c r="C41" s="83" t="s">
        <v>87</v>
      </c>
      <c r="D41" s="47">
        <v>0</v>
      </c>
      <c r="E41" s="84">
        <v>0</v>
      </c>
      <c r="F41" s="51">
        <v>0</v>
      </c>
      <c r="G41" s="85"/>
      <c r="H41" s="85"/>
      <c r="I41" s="52"/>
      <c r="J41" s="52"/>
    </row>
    <row r="42" spans="1:10" ht="17.25" customHeight="1">
      <c r="A42" s="31" t="s">
        <v>145</v>
      </c>
      <c r="B42" s="82"/>
      <c r="C42" s="83"/>
      <c r="D42" s="47" t="s">
        <v>88</v>
      </c>
      <c r="E42" s="84" t="s">
        <v>88</v>
      </c>
      <c r="F42" s="51" t="s">
        <v>88</v>
      </c>
      <c r="G42" s="85"/>
      <c r="H42" s="85"/>
      <c r="I42" s="52"/>
      <c r="J42" s="52"/>
    </row>
    <row r="43" spans="1:10" ht="17.25" customHeight="1">
      <c r="A43" s="31" t="s">
        <v>146</v>
      </c>
      <c r="B43" s="82"/>
      <c r="C43" s="83" t="s">
        <v>89</v>
      </c>
      <c r="D43" s="47">
        <v>0</v>
      </c>
      <c r="E43" s="84">
        <v>0</v>
      </c>
      <c r="F43" s="51">
        <v>0</v>
      </c>
      <c r="G43" s="85"/>
      <c r="H43" s="85"/>
      <c r="I43" s="52"/>
      <c r="J43" s="52"/>
    </row>
    <row r="44" spans="1:10" ht="17.25" customHeight="1">
      <c r="A44" s="31" t="s">
        <v>147</v>
      </c>
      <c r="B44" s="82"/>
      <c r="C44" s="86"/>
      <c r="D44" s="63" t="s">
        <v>88</v>
      </c>
      <c r="E44" s="84" t="s">
        <v>88</v>
      </c>
      <c r="F44" s="51" t="s">
        <v>88</v>
      </c>
      <c r="G44" s="85"/>
      <c r="H44" s="85"/>
      <c r="I44" s="52"/>
      <c r="J44" s="52"/>
    </row>
    <row r="45" spans="1:10" ht="17.25" customHeight="1">
      <c r="A45" s="3">
        <v>6</v>
      </c>
      <c r="B45" s="78"/>
      <c r="C45" s="79" t="s">
        <v>148</v>
      </c>
      <c r="D45" s="42">
        <v>0</v>
      </c>
      <c r="E45" s="80">
        <v>0</v>
      </c>
      <c r="F45" s="62">
        <v>0</v>
      </c>
      <c r="G45" s="81"/>
      <c r="H45" s="81"/>
      <c r="I45" s="44"/>
      <c r="J45" s="44"/>
    </row>
    <row r="46" spans="1:10" ht="17.25" customHeight="1">
      <c r="A46" s="31" t="s">
        <v>149</v>
      </c>
      <c r="B46" s="82"/>
      <c r="C46" s="83" t="s">
        <v>87</v>
      </c>
      <c r="D46" s="47">
        <v>0</v>
      </c>
      <c r="E46" s="84">
        <v>0</v>
      </c>
      <c r="F46" s="51">
        <v>0</v>
      </c>
      <c r="G46" s="85"/>
      <c r="H46" s="85"/>
      <c r="I46" s="52"/>
      <c r="J46" s="52"/>
    </row>
    <row r="47" spans="1:10" ht="17.25" customHeight="1">
      <c r="A47" s="31" t="s">
        <v>150</v>
      </c>
      <c r="B47" s="82"/>
      <c r="C47" s="83"/>
      <c r="D47" s="47" t="s">
        <v>88</v>
      </c>
      <c r="E47" s="84" t="s">
        <v>88</v>
      </c>
      <c r="F47" s="51" t="s">
        <v>88</v>
      </c>
      <c r="G47" s="85"/>
      <c r="H47" s="85"/>
      <c r="I47" s="52"/>
      <c r="J47" s="52"/>
    </row>
    <row r="48" spans="1:10" ht="17.25" customHeight="1">
      <c r="A48" s="31" t="s">
        <v>151</v>
      </c>
      <c r="B48" s="82"/>
      <c r="C48" s="83" t="s">
        <v>89</v>
      </c>
      <c r="D48" s="47">
        <v>0</v>
      </c>
      <c r="E48" s="84">
        <v>0</v>
      </c>
      <c r="F48" s="51">
        <v>0</v>
      </c>
      <c r="G48" s="85"/>
      <c r="H48" s="85"/>
      <c r="I48" s="52"/>
      <c r="J48" s="52"/>
    </row>
    <row r="49" spans="1:10" ht="17.25" customHeight="1">
      <c r="A49" s="31" t="s">
        <v>152</v>
      </c>
      <c r="B49" s="82"/>
      <c r="C49" s="86"/>
      <c r="D49" s="63" t="s">
        <v>88</v>
      </c>
      <c r="E49" s="84" t="s">
        <v>88</v>
      </c>
      <c r="F49" s="51" t="s">
        <v>88</v>
      </c>
      <c r="G49" s="85"/>
      <c r="H49" s="85"/>
      <c r="I49" s="52"/>
      <c r="J49" s="52"/>
    </row>
    <row r="50" spans="1:10" ht="17.25" customHeight="1">
      <c r="A50" s="31" t="s">
        <v>153</v>
      </c>
      <c r="B50" s="82"/>
      <c r="C50" s="79" t="s">
        <v>154</v>
      </c>
      <c r="D50" s="42">
        <f>F50/E50</f>
        <v>1418.2066014669924</v>
      </c>
      <c r="E50" s="42">
        <f>E51+E53</f>
        <v>0.8180000000000001</v>
      </c>
      <c r="F50" s="43">
        <f>F51+F53</f>
        <v>1160.0929999999998</v>
      </c>
      <c r="G50" s="81"/>
      <c r="H50" s="81"/>
      <c r="I50" s="44"/>
      <c r="J50" s="45"/>
    </row>
    <row r="51" spans="1:10" ht="17.25" customHeight="1">
      <c r="A51" s="31" t="s">
        <v>155</v>
      </c>
      <c r="B51" s="82"/>
      <c r="C51" s="83" t="s">
        <v>87</v>
      </c>
      <c r="D51" s="47">
        <v>0</v>
      </c>
      <c r="E51" s="48">
        <v>0</v>
      </c>
      <c r="F51" s="49">
        <v>0</v>
      </c>
      <c r="G51" s="81"/>
      <c r="H51" s="81"/>
      <c r="I51" s="44"/>
      <c r="J51" s="45"/>
    </row>
    <row r="52" spans="1:10" ht="17.25" customHeight="1">
      <c r="A52" s="31" t="s">
        <v>156</v>
      </c>
      <c r="B52" s="82"/>
      <c r="C52" s="83"/>
      <c r="D52" s="47" t="s">
        <v>88</v>
      </c>
      <c r="E52" s="50" t="s">
        <v>88</v>
      </c>
      <c r="F52" s="51" t="s">
        <v>88</v>
      </c>
      <c r="G52" s="85"/>
      <c r="H52" s="85"/>
      <c r="I52" s="52"/>
      <c r="J52" s="45"/>
    </row>
    <row r="53" spans="1:10" ht="17.25" customHeight="1">
      <c r="A53" s="31" t="s">
        <v>157</v>
      </c>
      <c r="B53" s="82"/>
      <c r="C53" s="83" t="s">
        <v>89</v>
      </c>
      <c r="D53" s="47">
        <f>F53/E53</f>
        <v>1418.2066014669924</v>
      </c>
      <c r="E53" s="50">
        <f>SUM(E55:E57)</f>
        <v>0.8180000000000001</v>
      </c>
      <c r="F53" s="51">
        <f>SUM(F55:F57)</f>
        <v>1160.0929999999998</v>
      </c>
      <c r="G53" s="85"/>
      <c r="H53" s="85"/>
      <c r="I53" s="52"/>
      <c r="J53" s="45"/>
    </row>
    <row r="54" spans="1:10" ht="16.5" customHeight="1">
      <c r="A54" s="31"/>
      <c r="B54" s="82"/>
      <c r="C54" s="79" t="s">
        <v>125</v>
      </c>
      <c r="D54" s="47"/>
      <c r="E54" s="50"/>
      <c r="F54" s="51"/>
      <c r="G54" s="85"/>
      <c r="H54" s="85"/>
      <c r="I54" s="52"/>
      <c r="J54" s="45"/>
    </row>
    <row r="55" spans="1:10" ht="31.5" customHeight="1">
      <c r="A55" s="31" t="s">
        <v>158</v>
      </c>
      <c r="B55" s="87" t="s">
        <v>159</v>
      </c>
      <c r="C55" s="88" t="s">
        <v>160</v>
      </c>
      <c r="D55" s="48">
        <f aca="true" t="shared" si="1" ref="D55:D58">F55/E55</f>
        <v>1309.42</v>
      </c>
      <c r="E55" s="48">
        <v>0.2</v>
      </c>
      <c r="F55" s="89">
        <v>261.884</v>
      </c>
      <c r="G55" s="67" t="s">
        <v>92</v>
      </c>
      <c r="H55" s="68" t="s">
        <v>93</v>
      </c>
      <c r="I55" s="52"/>
      <c r="J55" s="45"/>
    </row>
    <row r="56" spans="1:10" ht="31.5" customHeight="1">
      <c r="A56" s="31" t="s">
        <v>161</v>
      </c>
      <c r="B56" s="87" t="s">
        <v>162</v>
      </c>
      <c r="C56" s="88" t="s">
        <v>163</v>
      </c>
      <c r="D56" s="48">
        <f t="shared" si="1"/>
        <v>1496.6872659176029</v>
      </c>
      <c r="E56" s="48">
        <v>0.534</v>
      </c>
      <c r="F56" s="90">
        <v>799.231</v>
      </c>
      <c r="G56" s="67" t="s">
        <v>92</v>
      </c>
      <c r="H56" s="68" t="s">
        <v>93</v>
      </c>
      <c r="I56" s="52"/>
      <c r="J56" s="45"/>
    </row>
    <row r="57" spans="1:10" ht="17.25" customHeight="1">
      <c r="A57" s="31" t="s">
        <v>164</v>
      </c>
      <c r="B57" s="87" t="s">
        <v>165</v>
      </c>
      <c r="C57" s="88" t="s">
        <v>166</v>
      </c>
      <c r="D57" s="48">
        <f t="shared" si="1"/>
        <v>1178.3095238095236</v>
      </c>
      <c r="E57" s="48">
        <v>0.084</v>
      </c>
      <c r="F57" s="89">
        <v>98.978</v>
      </c>
      <c r="G57" s="67" t="s">
        <v>92</v>
      </c>
      <c r="H57" s="68" t="s">
        <v>93</v>
      </c>
      <c r="I57" s="52"/>
      <c r="J57" s="45"/>
    </row>
    <row r="58" spans="1:10" ht="17.25" customHeight="1">
      <c r="A58" s="31" t="s">
        <v>167</v>
      </c>
      <c r="B58" s="82"/>
      <c r="C58" s="79" t="s">
        <v>168</v>
      </c>
      <c r="D58" s="42">
        <f t="shared" si="1"/>
        <v>1042.1980046047584</v>
      </c>
      <c r="E58" s="42">
        <f>E59+E61</f>
        <v>0.6515</v>
      </c>
      <c r="F58" s="43">
        <f>F59+F61</f>
        <v>678.9920000000001</v>
      </c>
      <c r="G58" s="81"/>
      <c r="H58" s="81"/>
      <c r="I58" s="44"/>
      <c r="J58" s="45"/>
    </row>
    <row r="59" spans="1:10" ht="17.25" customHeight="1">
      <c r="A59" s="31" t="s">
        <v>169</v>
      </c>
      <c r="B59" s="82"/>
      <c r="C59" s="83" t="s">
        <v>87</v>
      </c>
      <c r="D59" s="47">
        <v>0</v>
      </c>
      <c r="E59" s="48">
        <v>0</v>
      </c>
      <c r="F59" s="49">
        <v>0</v>
      </c>
      <c r="G59" s="81"/>
      <c r="H59" s="81"/>
      <c r="I59" s="44"/>
      <c r="J59" s="45"/>
    </row>
    <row r="60" spans="1:10" ht="17.25" customHeight="1">
      <c r="A60" s="31" t="s">
        <v>170</v>
      </c>
      <c r="B60" s="82"/>
      <c r="C60" s="83"/>
      <c r="D60" s="47" t="s">
        <v>88</v>
      </c>
      <c r="E60" s="50" t="s">
        <v>88</v>
      </c>
      <c r="F60" s="51" t="s">
        <v>88</v>
      </c>
      <c r="G60" s="85"/>
      <c r="H60" s="85"/>
      <c r="I60" s="52"/>
      <c r="J60" s="45"/>
    </row>
    <row r="61" spans="1:10" ht="17.25" customHeight="1">
      <c r="A61" s="31" t="s">
        <v>171</v>
      </c>
      <c r="B61" s="82"/>
      <c r="C61" s="83" t="s">
        <v>89</v>
      </c>
      <c r="D61" s="47">
        <f>F61/E61</f>
        <v>1042.1980046047584</v>
      </c>
      <c r="E61" s="50">
        <f>SUM(E63:E67)</f>
        <v>0.6515</v>
      </c>
      <c r="F61" s="51">
        <f>SUM(F63:F67)</f>
        <v>678.9920000000001</v>
      </c>
      <c r="G61" s="85"/>
      <c r="H61" s="85"/>
      <c r="I61" s="52"/>
      <c r="J61" s="45"/>
    </row>
    <row r="62" spans="1:10" ht="15.75" customHeight="1">
      <c r="A62" s="31"/>
      <c r="B62" s="91"/>
      <c r="C62" s="92" t="s">
        <v>125</v>
      </c>
      <c r="D62" s="93"/>
      <c r="E62" s="94"/>
      <c r="F62" s="95"/>
      <c r="G62" s="67"/>
      <c r="H62" s="68"/>
      <c r="I62" s="52"/>
      <c r="J62" s="45"/>
    </row>
    <row r="63" spans="1:10" ht="31.5" customHeight="1">
      <c r="A63" s="31" t="s">
        <v>172</v>
      </c>
      <c r="B63" s="91" t="s">
        <v>173</v>
      </c>
      <c r="C63" s="96" t="s">
        <v>174</v>
      </c>
      <c r="D63" s="47">
        <f aca="true" t="shared" si="2" ref="D63:D67">F63/E63</f>
        <v>1069.0576923076924</v>
      </c>
      <c r="E63" s="97">
        <v>0.156</v>
      </c>
      <c r="F63" s="89">
        <v>166.773</v>
      </c>
      <c r="G63" s="67" t="s">
        <v>92</v>
      </c>
      <c r="H63" s="68" t="s">
        <v>93</v>
      </c>
      <c r="I63" s="52"/>
      <c r="J63" s="45"/>
    </row>
    <row r="64" spans="1:10" ht="17.25" customHeight="1">
      <c r="A64" s="31" t="s">
        <v>175</v>
      </c>
      <c r="B64" s="91" t="s">
        <v>176</v>
      </c>
      <c r="C64" s="96" t="s">
        <v>177</v>
      </c>
      <c r="D64" s="47">
        <f t="shared" si="2"/>
        <v>1028.6686930091184</v>
      </c>
      <c r="E64" s="97">
        <v>0.1645</v>
      </c>
      <c r="F64" s="89">
        <v>169.216</v>
      </c>
      <c r="G64" s="67" t="s">
        <v>92</v>
      </c>
      <c r="H64" s="68" t="s">
        <v>93</v>
      </c>
      <c r="I64" s="52"/>
      <c r="J64" s="45"/>
    </row>
    <row r="65" spans="1:10" ht="31.5" customHeight="1">
      <c r="A65" s="31" t="s">
        <v>178</v>
      </c>
      <c r="B65" s="91" t="s">
        <v>179</v>
      </c>
      <c r="C65" s="96" t="s">
        <v>180</v>
      </c>
      <c r="D65" s="47">
        <f t="shared" si="2"/>
        <v>1828.5087719298244</v>
      </c>
      <c r="E65" s="97">
        <v>0.057</v>
      </c>
      <c r="F65" s="89">
        <v>104.225</v>
      </c>
      <c r="G65" s="67" t="s">
        <v>92</v>
      </c>
      <c r="H65" s="68" t="s">
        <v>93</v>
      </c>
      <c r="I65" s="52"/>
      <c r="J65" s="45"/>
    </row>
    <row r="66" spans="1:10" ht="31.5" customHeight="1">
      <c r="A66" s="31" t="s">
        <v>181</v>
      </c>
      <c r="B66" s="91" t="s">
        <v>182</v>
      </c>
      <c r="C66" s="71" t="s">
        <v>183</v>
      </c>
      <c r="D66" s="47">
        <f t="shared" si="2"/>
        <v>785.8940397350993</v>
      </c>
      <c r="E66" s="57">
        <v>0.151</v>
      </c>
      <c r="F66" s="89">
        <v>118.67</v>
      </c>
      <c r="G66" s="67" t="s">
        <v>92</v>
      </c>
      <c r="H66" s="68" t="s">
        <v>93</v>
      </c>
      <c r="I66" s="52"/>
      <c r="J66" s="45"/>
    </row>
    <row r="67" spans="1:10" ht="31.5" customHeight="1">
      <c r="A67" s="31" t="s">
        <v>184</v>
      </c>
      <c r="B67" s="91" t="s">
        <v>185</v>
      </c>
      <c r="C67" s="71" t="s">
        <v>186</v>
      </c>
      <c r="D67" s="47">
        <f t="shared" si="2"/>
        <v>976.4878048780488</v>
      </c>
      <c r="E67" s="57">
        <v>0.123</v>
      </c>
      <c r="F67" s="89">
        <v>120.108</v>
      </c>
      <c r="G67" s="67" t="s">
        <v>92</v>
      </c>
      <c r="H67" s="68" t="s">
        <v>93</v>
      </c>
      <c r="I67" s="52"/>
      <c r="J67" s="45"/>
    </row>
    <row r="68" spans="1:10" ht="29.25" customHeight="1">
      <c r="A68" s="31" t="s">
        <v>187</v>
      </c>
      <c r="B68" s="40"/>
      <c r="C68" s="98" t="s">
        <v>188</v>
      </c>
      <c r="D68" s="80"/>
      <c r="E68" s="61">
        <f>E69+E71+E78</f>
        <v>7</v>
      </c>
      <c r="F68" s="62">
        <f>F69+F71+F78</f>
        <v>62258.329</v>
      </c>
      <c r="G68" s="99"/>
      <c r="H68" s="99"/>
      <c r="I68" s="99"/>
      <c r="J68" s="45"/>
    </row>
    <row r="69" spans="1:10" ht="17.25" customHeight="1">
      <c r="A69" s="31" t="s">
        <v>189</v>
      </c>
      <c r="B69" s="40"/>
      <c r="C69" s="46" t="s">
        <v>87</v>
      </c>
      <c r="D69" s="47">
        <f>D70</f>
        <v>61145</v>
      </c>
      <c r="E69" s="48">
        <f>E70</f>
        <v>1</v>
      </c>
      <c r="F69" s="49">
        <f>F70</f>
        <v>61145</v>
      </c>
      <c r="G69" s="99"/>
      <c r="H69" s="99"/>
      <c r="I69" s="99"/>
      <c r="J69" s="45"/>
    </row>
    <row r="70" spans="1:10" ht="27.75" customHeight="1">
      <c r="A70" s="31" t="s">
        <v>190</v>
      </c>
      <c r="B70" s="40"/>
      <c r="C70" s="100" t="s">
        <v>191</v>
      </c>
      <c r="D70" s="47">
        <v>61145</v>
      </c>
      <c r="E70" s="50">
        <v>1</v>
      </c>
      <c r="F70" s="51">
        <v>61145</v>
      </c>
      <c r="G70" s="52" t="s">
        <v>92</v>
      </c>
      <c r="H70" s="52" t="s">
        <v>93</v>
      </c>
      <c r="I70" s="52"/>
      <c r="J70" s="45"/>
    </row>
    <row r="71" spans="1:10" ht="17.25" customHeight="1">
      <c r="A71" s="31" t="s">
        <v>192</v>
      </c>
      <c r="B71" s="40"/>
      <c r="C71" s="46" t="s">
        <v>89</v>
      </c>
      <c r="D71" s="101"/>
      <c r="E71" s="102">
        <f>SUM(E72:E77)</f>
        <v>6</v>
      </c>
      <c r="F71" s="103">
        <f>SUM(F72:F77)</f>
        <v>1113.3290000000002</v>
      </c>
      <c r="G71" s="52"/>
      <c r="H71" s="52"/>
      <c r="I71" s="52"/>
      <c r="J71" s="45"/>
    </row>
    <row r="72" spans="1:10" ht="59.25" customHeight="1">
      <c r="A72" s="31" t="s">
        <v>193</v>
      </c>
      <c r="B72" s="104" t="s">
        <v>194</v>
      </c>
      <c r="C72" s="105" t="s">
        <v>195</v>
      </c>
      <c r="D72" s="106">
        <v>274.072</v>
      </c>
      <c r="E72" s="102">
        <v>1</v>
      </c>
      <c r="F72" s="107">
        <f aca="true" t="shared" si="3" ref="F72:F73">D72*E72</f>
        <v>274.072</v>
      </c>
      <c r="G72" s="77" t="s">
        <v>92</v>
      </c>
      <c r="H72" s="108" t="s">
        <v>140</v>
      </c>
      <c r="I72" s="52"/>
      <c r="J72" s="45"/>
    </row>
    <row r="73" spans="1:10" ht="59.25" customHeight="1">
      <c r="A73" s="31" t="s">
        <v>196</v>
      </c>
      <c r="B73" s="104" t="s">
        <v>197</v>
      </c>
      <c r="C73" s="105" t="s">
        <v>198</v>
      </c>
      <c r="D73" s="106">
        <v>260.35</v>
      </c>
      <c r="E73" s="102">
        <v>1</v>
      </c>
      <c r="F73" s="107">
        <f t="shared" si="3"/>
        <v>260.35</v>
      </c>
      <c r="G73" s="77" t="s">
        <v>92</v>
      </c>
      <c r="H73" s="108" t="s">
        <v>140</v>
      </c>
      <c r="I73" s="52"/>
      <c r="J73" s="45"/>
    </row>
    <row r="74" spans="1:10" ht="73.5" customHeight="1">
      <c r="A74" s="31" t="s">
        <v>199</v>
      </c>
      <c r="B74" s="109" t="s">
        <v>200</v>
      </c>
      <c r="C74" s="105" t="s">
        <v>201</v>
      </c>
      <c r="D74" s="106">
        <v>264.49</v>
      </c>
      <c r="E74" s="102">
        <v>1</v>
      </c>
      <c r="F74" s="107">
        <v>264.49</v>
      </c>
      <c r="G74" s="77" t="s">
        <v>92</v>
      </c>
      <c r="H74" s="108" t="s">
        <v>140</v>
      </c>
      <c r="I74" s="52"/>
      <c r="J74" s="45"/>
    </row>
    <row r="75" spans="1:10" ht="59.25" customHeight="1">
      <c r="A75" s="31" t="s">
        <v>202</v>
      </c>
      <c r="B75" s="109" t="s">
        <v>203</v>
      </c>
      <c r="C75" s="110" t="s">
        <v>204</v>
      </c>
      <c r="D75" s="106">
        <v>67.814</v>
      </c>
      <c r="E75" s="102">
        <v>1</v>
      </c>
      <c r="F75" s="107">
        <v>67.814</v>
      </c>
      <c r="G75" s="77" t="s">
        <v>92</v>
      </c>
      <c r="H75" s="108" t="s">
        <v>140</v>
      </c>
      <c r="I75" s="52"/>
      <c r="J75" s="45"/>
    </row>
    <row r="76" spans="1:10" ht="73.5" customHeight="1">
      <c r="A76" s="31" t="s">
        <v>205</v>
      </c>
      <c r="B76" s="104" t="s">
        <v>206</v>
      </c>
      <c r="C76" s="111" t="s">
        <v>207</v>
      </c>
      <c r="D76" s="106">
        <v>201.49</v>
      </c>
      <c r="E76" s="102">
        <v>1</v>
      </c>
      <c r="F76" s="107">
        <f aca="true" t="shared" si="4" ref="F76:F77">D76*E76</f>
        <v>201.49</v>
      </c>
      <c r="G76" s="77" t="s">
        <v>92</v>
      </c>
      <c r="H76" s="108" t="s">
        <v>140</v>
      </c>
      <c r="I76" s="52"/>
      <c r="J76" s="45"/>
    </row>
    <row r="77" spans="1:10" ht="45.75" customHeight="1">
      <c r="A77" s="31" t="s">
        <v>208</v>
      </c>
      <c r="B77" s="104" t="s">
        <v>209</v>
      </c>
      <c r="C77" s="111" t="s">
        <v>210</v>
      </c>
      <c r="D77" s="106">
        <v>45.113</v>
      </c>
      <c r="E77" s="102">
        <v>1</v>
      </c>
      <c r="F77" s="107">
        <f t="shared" si="4"/>
        <v>45.113</v>
      </c>
      <c r="G77" s="77" t="s">
        <v>92</v>
      </c>
      <c r="H77" s="108" t="s">
        <v>140</v>
      </c>
      <c r="I77" s="52"/>
      <c r="J77" s="45"/>
    </row>
    <row r="78" spans="1:10" ht="17.25" customHeight="1">
      <c r="A78" s="31" t="s">
        <v>211</v>
      </c>
      <c r="B78" s="40"/>
      <c r="C78" s="46" t="s">
        <v>212</v>
      </c>
      <c r="D78" s="47">
        <v>0</v>
      </c>
      <c r="E78" s="50">
        <v>0</v>
      </c>
      <c r="F78" s="51">
        <v>0</v>
      </c>
      <c r="G78" s="52"/>
      <c r="H78" s="52"/>
      <c r="I78" s="52"/>
      <c r="J78" s="45"/>
    </row>
    <row r="79" spans="1:10" ht="17.25" customHeight="1">
      <c r="A79" s="31" t="s">
        <v>213</v>
      </c>
      <c r="B79" s="40"/>
      <c r="C79" s="46"/>
      <c r="D79" s="63" t="s">
        <v>88</v>
      </c>
      <c r="E79" s="50" t="s">
        <v>88</v>
      </c>
      <c r="F79" s="51" t="s">
        <v>88</v>
      </c>
      <c r="G79" s="52"/>
      <c r="H79" s="52"/>
      <c r="I79" s="52"/>
      <c r="J79" s="45"/>
    </row>
    <row r="80" spans="1:10" ht="29.25" customHeight="1">
      <c r="A80" s="31" t="s">
        <v>214</v>
      </c>
      <c r="B80" s="40"/>
      <c r="C80" s="98" t="s">
        <v>215</v>
      </c>
      <c r="D80" s="80"/>
      <c r="E80" s="61">
        <f>E81+E83+E102</f>
        <v>18</v>
      </c>
      <c r="F80" s="62">
        <f>F81+F83+F102</f>
        <v>2978.401</v>
      </c>
      <c r="G80" s="99"/>
      <c r="H80" s="99"/>
      <c r="I80" s="99"/>
      <c r="J80" s="45"/>
    </row>
    <row r="81" spans="1:10" ht="17.25" customHeight="1">
      <c r="A81" s="31" t="s">
        <v>216</v>
      </c>
      <c r="B81" s="40"/>
      <c r="C81" s="46" t="s">
        <v>87</v>
      </c>
      <c r="D81" s="47">
        <v>0</v>
      </c>
      <c r="E81" s="48">
        <v>0</v>
      </c>
      <c r="F81" s="49">
        <v>0</v>
      </c>
      <c r="G81" s="99"/>
      <c r="H81" s="99"/>
      <c r="I81" s="99"/>
      <c r="J81" s="45"/>
    </row>
    <row r="82" spans="1:10" ht="17.25" customHeight="1">
      <c r="A82" s="31" t="s">
        <v>217</v>
      </c>
      <c r="B82" s="40"/>
      <c r="C82" s="46"/>
      <c r="D82" s="47" t="s">
        <v>88</v>
      </c>
      <c r="E82" s="50" t="s">
        <v>88</v>
      </c>
      <c r="F82" s="51" t="s">
        <v>88</v>
      </c>
      <c r="G82" s="52"/>
      <c r="H82" s="52"/>
      <c r="I82" s="52"/>
      <c r="J82" s="45"/>
    </row>
    <row r="83" spans="1:10" ht="17.25" customHeight="1">
      <c r="A83" s="31" t="s">
        <v>218</v>
      </c>
      <c r="B83" s="40"/>
      <c r="C83" s="46" t="s">
        <v>89</v>
      </c>
      <c r="D83" s="47"/>
      <c r="E83" s="50">
        <f>SUM(E84:E101)</f>
        <v>18</v>
      </c>
      <c r="F83" s="51">
        <f>F84+F99+F100+F101+SUM(F85:F98)</f>
        <v>2978.401</v>
      </c>
      <c r="G83" s="52"/>
      <c r="H83" s="52"/>
      <c r="I83" s="52"/>
      <c r="J83" s="45"/>
    </row>
    <row r="84" spans="1:10" ht="31.5" customHeight="1">
      <c r="A84" s="31" t="s">
        <v>219</v>
      </c>
      <c r="B84" s="104" t="s">
        <v>220</v>
      </c>
      <c r="C84" s="112" t="s">
        <v>221</v>
      </c>
      <c r="D84" s="103">
        <v>170.9</v>
      </c>
      <c r="E84" s="102">
        <v>1</v>
      </c>
      <c r="F84" s="103">
        <v>170.9</v>
      </c>
      <c r="G84" s="77" t="s">
        <v>92</v>
      </c>
      <c r="H84" s="108" t="s">
        <v>140</v>
      </c>
      <c r="I84" s="52"/>
      <c r="J84" s="45"/>
    </row>
    <row r="85" spans="1:12" ht="31.5" customHeight="1">
      <c r="A85" s="31" t="s">
        <v>222</v>
      </c>
      <c r="B85" s="104" t="s">
        <v>223</v>
      </c>
      <c r="C85" s="112" t="s">
        <v>224</v>
      </c>
      <c r="D85" s="113">
        <v>191.79</v>
      </c>
      <c r="E85" s="102">
        <v>1</v>
      </c>
      <c r="F85" s="113">
        <v>191.79</v>
      </c>
      <c r="G85" s="77" t="s">
        <v>92</v>
      </c>
      <c r="H85" s="108" t="s">
        <v>93</v>
      </c>
      <c r="I85" s="114"/>
      <c r="J85" s="114"/>
      <c r="K85" s="52" t="s">
        <v>225</v>
      </c>
      <c r="L85" s="45">
        <v>3</v>
      </c>
    </row>
    <row r="86" spans="1:12" ht="45.75" customHeight="1">
      <c r="A86" s="31" t="s">
        <v>226</v>
      </c>
      <c r="B86" s="104" t="s">
        <v>227</v>
      </c>
      <c r="C86" s="112" t="s">
        <v>228</v>
      </c>
      <c r="D86" s="113">
        <v>191.79</v>
      </c>
      <c r="E86" s="102">
        <v>1</v>
      </c>
      <c r="F86" s="113">
        <v>191.79</v>
      </c>
      <c r="G86" s="77" t="s">
        <v>92</v>
      </c>
      <c r="H86" s="108" t="s">
        <v>93</v>
      </c>
      <c r="I86" s="114"/>
      <c r="J86" s="114"/>
      <c r="K86" s="52" t="s">
        <v>229</v>
      </c>
      <c r="L86" s="45">
        <v>4</v>
      </c>
    </row>
    <row r="87" spans="1:12" ht="31.5" customHeight="1">
      <c r="A87" s="31" t="s">
        <v>230</v>
      </c>
      <c r="B87" s="104" t="s">
        <v>231</v>
      </c>
      <c r="C87" s="112" t="s">
        <v>232</v>
      </c>
      <c r="D87" s="113">
        <v>191.79</v>
      </c>
      <c r="E87" s="102">
        <v>1</v>
      </c>
      <c r="F87" s="113">
        <v>191.79</v>
      </c>
      <c r="G87" s="77" t="s">
        <v>92</v>
      </c>
      <c r="H87" s="108" t="s">
        <v>93</v>
      </c>
      <c r="I87" s="114"/>
      <c r="J87" s="114"/>
      <c r="K87" s="52" t="s">
        <v>233</v>
      </c>
      <c r="L87" s="45">
        <v>4</v>
      </c>
    </row>
    <row r="88" spans="1:12" ht="31.5" customHeight="1">
      <c r="A88" s="31" t="s">
        <v>234</v>
      </c>
      <c r="B88" s="104" t="s">
        <v>235</v>
      </c>
      <c r="C88" s="112" t="s">
        <v>236</v>
      </c>
      <c r="D88" s="113">
        <v>191.79</v>
      </c>
      <c r="E88" s="102">
        <v>1</v>
      </c>
      <c r="F88" s="113">
        <v>191.79</v>
      </c>
      <c r="G88" s="77" t="s">
        <v>92</v>
      </c>
      <c r="H88" s="108" t="s">
        <v>93</v>
      </c>
      <c r="I88" s="114"/>
      <c r="J88" s="114"/>
      <c r="K88" s="52" t="s">
        <v>237</v>
      </c>
      <c r="L88" s="45">
        <v>4</v>
      </c>
    </row>
    <row r="89" spans="1:12" ht="31.5" customHeight="1">
      <c r="A89" s="31" t="s">
        <v>238</v>
      </c>
      <c r="B89" s="104" t="s">
        <v>239</v>
      </c>
      <c r="C89" s="112" t="s">
        <v>240</v>
      </c>
      <c r="D89" s="113">
        <v>191.79</v>
      </c>
      <c r="E89" s="102">
        <v>1</v>
      </c>
      <c r="F89" s="113">
        <v>191.79</v>
      </c>
      <c r="G89" s="77" t="s">
        <v>92</v>
      </c>
      <c r="H89" s="108" t="s">
        <v>93</v>
      </c>
      <c r="I89" s="114"/>
      <c r="J89" s="114"/>
      <c r="K89" s="52" t="s">
        <v>225</v>
      </c>
      <c r="L89" s="45">
        <v>3</v>
      </c>
    </row>
    <row r="90" spans="1:12" ht="45.75" customHeight="1">
      <c r="A90" s="31" t="s">
        <v>241</v>
      </c>
      <c r="B90" s="104" t="s">
        <v>242</v>
      </c>
      <c r="C90" s="112" t="s">
        <v>243</v>
      </c>
      <c r="D90" s="113">
        <v>191.79</v>
      </c>
      <c r="E90" s="102">
        <v>1</v>
      </c>
      <c r="F90" s="113">
        <v>191.79</v>
      </c>
      <c r="G90" s="77" t="s">
        <v>92</v>
      </c>
      <c r="H90" s="108" t="s">
        <v>93</v>
      </c>
      <c r="I90" s="114"/>
      <c r="J90" s="114"/>
      <c r="K90" s="52" t="s">
        <v>244</v>
      </c>
      <c r="L90" s="45">
        <v>2</v>
      </c>
    </row>
    <row r="91" spans="1:12" ht="31.5" customHeight="1">
      <c r="A91" s="31" t="s">
        <v>245</v>
      </c>
      <c r="B91" s="104" t="s">
        <v>246</v>
      </c>
      <c r="C91" s="112" t="s">
        <v>247</v>
      </c>
      <c r="D91" s="113">
        <v>191.79</v>
      </c>
      <c r="E91" s="102">
        <v>1</v>
      </c>
      <c r="F91" s="113">
        <v>191.79</v>
      </c>
      <c r="G91" s="77" t="s">
        <v>92</v>
      </c>
      <c r="H91" s="108" t="s">
        <v>93</v>
      </c>
      <c r="I91" s="114"/>
      <c r="J91" s="114"/>
      <c r="K91" s="52" t="s">
        <v>248</v>
      </c>
      <c r="L91" s="45">
        <v>2</v>
      </c>
    </row>
    <row r="92" spans="1:12" ht="31.5" customHeight="1">
      <c r="A92" s="31" t="s">
        <v>249</v>
      </c>
      <c r="B92" s="104" t="s">
        <v>250</v>
      </c>
      <c r="C92" s="112" t="s">
        <v>251</v>
      </c>
      <c r="D92" s="113">
        <v>191.79</v>
      </c>
      <c r="E92" s="102">
        <v>1</v>
      </c>
      <c r="F92" s="113">
        <v>191.79</v>
      </c>
      <c r="G92" s="77" t="s">
        <v>92</v>
      </c>
      <c r="H92" s="108" t="s">
        <v>93</v>
      </c>
      <c r="I92" s="114"/>
      <c r="J92" s="114"/>
      <c r="K92" s="52" t="s">
        <v>252</v>
      </c>
      <c r="L92" s="45">
        <v>3</v>
      </c>
    </row>
    <row r="93" spans="1:12" ht="45.75" customHeight="1">
      <c r="A93" s="31" t="s">
        <v>253</v>
      </c>
      <c r="B93" s="104" t="s">
        <v>254</v>
      </c>
      <c r="C93" s="112" t="s">
        <v>255</v>
      </c>
      <c r="D93" s="113">
        <v>182.75</v>
      </c>
      <c r="E93" s="102">
        <v>1</v>
      </c>
      <c r="F93" s="113">
        <v>182.75</v>
      </c>
      <c r="G93" s="77" t="s">
        <v>92</v>
      </c>
      <c r="H93" s="108" t="s">
        <v>93</v>
      </c>
      <c r="I93" s="114"/>
      <c r="J93" s="114"/>
      <c r="K93" s="52" t="s">
        <v>256</v>
      </c>
      <c r="L93" s="45">
        <v>3</v>
      </c>
    </row>
    <row r="94" spans="1:12" ht="31.5" customHeight="1">
      <c r="A94" s="31" t="s">
        <v>257</v>
      </c>
      <c r="B94" s="104" t="s">
        <v>258</v>
      </c>
      <c r="C94" s="112" t="s">
        <v>259</v>
      </c>
      <c r="D94" s="113">
        <v>182.75</v>
      </c>
      <c r="E94" s="102">
        <v>1</v>
      </c>
      <c r="F94" s="113">
        <v>182.75</v>
      </c>
      <c r="G94" s="77" t="s">
        <v>92</v>
      </c>
      <c r="H94" s="108" t="s">
        <v>93</v>
      </c>
      <c r="I94" s="114"/>
      <c r="J94" s="114"/>
      <c r="K94" s="52" t="s">
        <v>260</v>
      </c>
      <c r="L94" s="45">
        <v>3</v>
      </c>
    </row>
    <row r="95" spans="1:12" ht="31.5" customHeight="1">
      <c r="A95" s="31" t="s">
        <v>261</v>
      </c>
      <c r="B95" s="104" t="s">
        <v>262</v>
      </c>
      <c r="C95" s="112" t="s">
        <v>263</v>
      </c>
      <c r="D95" s="113">
        <v>182.75</v>
      </c>
      <c r="E95" s="102">
        <v>1</v>
      </c>
      <c r="F95" s="113">
        <v>182.75</v>
      </c>
      <c r="G95" s="77" t="s">
        <v>92</v>
      </c>
      <c r="H95" s="108" t="s">
        <v>93</v>
      </c>
      <c r="I95" s="114"/>
      <c r="J95" s="114"/>
      <c r="K95" s="52" t="s">
        <v>260</v>
      </c>
      <c r="L95" s="45">
        <v>3</v>
      </c>
    </row>
    <row r="96" spans="1:12" ht="31.5" customHeight="1">
      <c r="A96" s="31" t="s">
        <v>264</v>
      </c>
      <c r="B96" s="104" t="s">
        <v>265</v>
      </c>
      <c r="C96" s="112" t="s">
        <v>266</v>
      </c>
      <c r="D96" s="113">
        <v>182.75</v>
      </c>
      <c r="E96" s="102">
        <v>1</v>
      </c>
      <c r="F96" s="113">
        <v>182.75</v>
      </c>
      <c r="G96" s="77" t="s">
        <v>92</v>
      </c>
      <c r="H96" s="108" t="s">
        <v>93</v>
      </c>
      <c r="I96" s="114"/>
      <c r="J96" s="114"/>
      <c r="K96" s="52" t="s">
        <v>229</v>
      </c>
      <c r="L96" s="45">
        <v>4</v>
      </c>
    </row>
    <row r="97" spans="1:12" ht="31.5" customHeight="1">
      <c r="A97" s="31" t="s">
        <v>267</v>
      </c>
      <c r="B97" s="104" t="s">
        <v>268</v>
      </c>
      <c r="C97" s="112" t="s">
        <v>269</v>
      </c>
      <c r="D97" s="113">
        <v>182.75</v>
      </c>
      <c r="E97" s="102">
        <v>1</v>
      </c>
      <c r="F97" s="113">
        <v>182.75</v>
      </c>
      <c r="G97" s="77" t="s">
        <v>92</v>
      </c>
      <c r="H97" s="108" t="s">
        <v>93</v>
      </c>
      <c r="I97" s="114"/>
      <c r="J97" s="114"/>
      <c r="K97" s="52" t="s">
        <v>270</v>
      </c>
      <c r="L97" s="45">
        <v>2</v>
      </c>
    </row>
    <row r="98" spans="1:12" ht="31.5" customHeight="1">
      <c r="A98" s="31" t="s">
        <v>271</v>
      </c>
      <c r="B98" s="104" t="s">
        <v>272</v>
      </c>
      <c r="C98" s="112" t="s">
        <v>273</v>
      </c>
      <c r="D98" s="113">
        <v>182.75</v>
      </c>
      <c r="E98" s="102">
        <v>1</v>
      </c>
      <c r="F98" s="113">
        <v>182.75</v>
      </c>
      <c r="G98" s="77" t="s">
        <v>92</v>
      </c>
      <c r="H98" s="108" t="s">
        <v>93</v>
      </c>
      <c r="I98" s="114"/>
      <c r="J98" s="114"/>
      <c r="K98" s="52" t="s">
        <v>248</v>
      </c>
      <c r="L98" s="45">
        <v>2</v>
      </c>
    </row>
    <row r="99" spans="1:10" ht="45.75" customHeight="1">
      <c r="A99" s="31" t="s">
        <v>274</v>
      </c>
      <c r="B99" s="55" t="s">
        <v>275</v>
      </c>
      <c r="C99" s="105" t="s">
        <v>276</v>
      </c>
      <c r="D99" s="115">
        <v>45.113</v>
      </c>
      <c r="E99" s="116">
        <v>1</v>
      </c>
      <c r="F99" s="117">
        <f aca="true" t="shared" si="5" ref="F99:F101">D99*E99</f>
        <v>45.113</v>
      </c>
      <c r="G99" s="118" t="s">
        <v>92</v>
      </c>
      <c r="H99" s="119" t="s">
        <v>140</v>
      </c>
      <c r="I99" s="52"/>
      <c r="J99" s="45"/>
    </row>
    <row r="100" spans="1:10" ht="59.25" customHeight="1">
      <c r="A100" s="31" t="s">
        <v>277</v>
      </c>
      <c r="B100" s="104" t="s">
        <v>275</v>
      </c>
      <c r="C100" s="105" t="s">
        <v>278</v>
      </c>
      <c r="D100" s="120">
        <v>86.455</v>
      </c>
      <c r="E100" s="102">
        <v>1</v>
      </c>
      <c r="F100" s="107">
        <f t="shared" si="5"/>
        <v>86.455</v>
      </c>
      <c r="G100" s="77" t="s">
        <v>92</v>
      </c>
      <c r="H100" s="108" t="s">
        <v>140</v>
      </c>
      <c r="I100" s="52"/>
      <c r="J100" s="45"/>
    </row>
    <row r="101" spans="1:10" ht="45.75" customHeight="1">
      <c r="A101" s="31" t="s">
        <v>279</v>
      </c>
      <c r="B101" s="104" t="s">
        <v>275</v>
      </c>
      <c r="C101" s="105" t="s">
        <v>280</v>
      </c>
      <c r="D101" s="120">
        <v>45.113</v>
      </c>
      <c r="E101" s="102">
        <v>1</v>
      </c>
      <c r="F101" s="107">
        <f t="shared" si="5"/>
        <v>45.113</v>
      </c>
      <c r="G101" s="77" t="s">
        <v>92</v>
      </c>
      <c r="H101" s="108" t="s">
        <v>140</v>
      </c>
      <c r="I101" s="52"/>
      <c r="J101" s="45"/>
    </row>
    <row r="102" spans="1:10" ht="17.25" customHeight="1">
      <c r="A102" s="31" t="s">
        <v>281</v>
      </c>
      <c r="B102" s="40"/>
      <c r="C102" s="46" t="s">
        <v>212</v>
      </c>
      <c r="D102" s="47">
        <v>0</v>
      </c>
      <c r="E102" s="50">
        <v>0</v>
      </c>
      <c r="F102" s="51">
        <v>0</v>
      </c>
      <c r="G102" s="52"/>
      <c r="H102" s="52"/>
      <c r="I102" s="52"/>
      <c r="J102" s="45"/>
    </row>
    <row r="103" spans="1:10" ht="17.25" customHeight="1">
      <c r="A103" s="31" t="s">
        <v>282</v>
      </c>
      <c r="B103" s="40"/>
      <c r="C103" s="46"/>
      <c r="D103" s="47" t="s">
        <v>88</v>
      </c>
      <c r="E103" s="50" t="s">
        <v>88</v>
      </c>
      <c r="F103" s="51" t="s">
        <v>88</v>
      </c>
      <c r="G103" s="52"/>
      <c r="H103" s="52"/>
      <c r="I103" s="52"/>
      <c r="J103" s="45"/>
    </row>
    <row r="104" spans="1:10" ht="17.25" customHeight="1">
      <c r="A104" s="31" t="s">
        <v>283</v>
      </c>
      <c r="B104" s="40"/>
      <c r="C104" s="41" t="s">
        <v>284</v>
      </c>
      <c r="D104" s="42">
        <f>F104/E104</f>
        <v>78.98074999999999</v>
      </c>
      <c r="E104" s="61">
        <f>E105+E107+E109</f>
        <v>28</v>
      </c>
      <c r="F104" s="62">
        <f>F105+F107+F109</f>
        <v>2211.461</v>
      </c>
      <c r="G104" s="99"/>
      <c r="H104" s="99"/>
      <c r="I104" s="99"/>
      <c r="J104" s="45"/>
    </row>
    <row r="105" spans="1:10" ht="17.25" customHeight="1">
      <c r="A105" s="31" t="s">
        <v>285</v>
      </c>
      <c r="B105" s="40"/>
      <c r="C105" s="46" t="s">
        <v>87</v>
      </c>
      <c r="D105" s="47">
        <v>0</v>
      </c>
      <c r="E105" s="48">
        <v>0</v>
      </c>
      <c r="F105" s="49">
        <v>0</v>
      </c>
      <c r="G105" s="99"/>
      <c r="H105" s="99"/>
      <c r="I105" s="99"/>
      <c r="J105" s="45"/>
    </row>
    <row r="106" spans="1:10" ht="17.25" customHeight="1">
      <c r="A106" s="31" t="s">
        <v>286</v>
      </c>
      <c r="B106" s="40"/>
      <c r="C106" s="46"/>
      <c r="D106" s="47" t="s">
        <v>88</v>
      </c>
      <c r="E106" s="50" t="s">
        <v>88</v>
      </c>
      <c r="F106" s="51" t="s">
        <v>88</v>
      </c>
      <c r="G106" s="52"/>
      <c r="H106" s="52"/>
      <c r="I106" s="52"/>
      <c r="J106" s="45"/>
    </row>
    <row r="107" spans="1:10" ht="17.25" customHeight="1">
      <c r="A107" s="31" t="s">
        <v>287</v>
      </c>
      <c r="B107" s="40"/>
      <c r="C107" s="46" t="s">
        <v>89</v>
      </c>
      <c r="D107" s="47">
        <v>0</v>
      </c>
      <c r="E107" s="50">
        <v>0</v>
      </c>
      <c r="F107" s="51">
        <v>0</v>
      </c>
      <c r="G107" s="52"/>
      <c r="H107" s="52"/>
      <c r="I107" s="52"/>
      <c r="J107" s="45"/>
    </row>
    <row r="108" spans="1:10" ht="17.25" customHeight="1">
      <c r="A108" s="31" t="s">
        <v>288</v>
      </c>
      <c r="B108" s="40"/>
      <c r="C108" s="45"/>
      <c r="D108" s="63" t="s">
        <v>88</v>
      </c>
      <c r="E108" s="50" t="s">
        <v>88</v>
      </c>
      <c r="F108" s="51" t="s">
        <v>88</v>
      </c>
      <c r="G108" s="52"/>
      <c r="H108" s="52"/>
      <c r="I108" s="52"/>
      <c r="J108" s="45"/>
    </row>
    <row r="109" spans="1:10" ht="17.25" customHeight="1">
      <c r="A109" s="31" t="s">
        <v>289</v>
      </c>
      <c r="B109" s="40"/>
      <c r="C109" s="46" t="s">
        <v>212</v>
      </c>
      <c r="D109" s="47">
        <f>F109/E109</f>
        <v>78.98074999999999</v>
      </c>
      <c r="E109" s="50">
        <f>SUM(E111:E146)</f>
        <v>28</v>
      </c>
      <c r="F109" s="51">
        <f>SUM(F111:F146)</f>
        <v>2211.461</v>
      </c>
      <c r="G109" s="52"/>
      <c r="H109" s="52"/>
      <c r="I109" s="52"/>
      <c r="J109" s="45"/>
    </row>
    <row r="110" spans="1:10" ht="18.75" customHeight="1">
      <c r="A110"/>
      <c r="B110" s="121"/>
      <c r="C110" s="122" t="s">
        <v>290</v>
      </c>
      <c r="D110" s="123"/>
      <c r="E110" s="124"/>
      <c r="F110" s="125"/>
      <c r="G110" s="69"/>
      <c r="H110" s="126"/>
      <c r="I110" s="52"/>
      <c r="J110" s="45"/>
    </row>
    <row r="111" spans="1:10" ht="17.25" customHeight="1">
      <c r="A111" s="31" t="s">
        <v>291</v>
      </c>
      <c r="B111" s="104" t="s">
        <v>292</v>
      </c>
      <c r="C111" s="127" t="s">
        <v>293</v>
      </c>
      <c r="D111" s="128">
        <v>75.703</v>
      </c>
      <c r="E111" s="128">
        <v>1</v>
      </c>
      <c r="F111" s="129">
        <f aca="true" t="shared" si="6" ref="F111:F115">E111*D111</f>
        <v>75.703</v>
      </c>
      <c r="G111" s="77" t="s">
        <v>92</v>
      </c>
      <c r="H111" s="108" t="s">
        <v>140</v>
      </c>
      <c r="I111" s="52"/>
      <c r="J111" s="45"/>
    </row>
    <row r="112" spans="1:10" ht="17.25" customHeight="1">
      <c r="A112" s="31" t="s">
        <v>294</v>
      </c>
      <c r="B112" s="104" t="s">
        <v>295</v>
      </c>
      <c r="C112" s="127" t="s">
        <v>296</v>
      </c>
      <c r="D112" s="128">
        <v>75.703</v>
      </c>
      <c r="E112" s="128">
        <v>1</v>
      </c>
      <c r="F112" s="129">
        <f t="shared" si="6"/>
        <v>75.703</v>
      </c>
      <c r="G112" s="77" t="s">
        <v>92</v>
      </c>
      <c r="H112" s="108" t="s">
        <v>140</v>
      </c>
      <c r="I112" s="52"/>
      <c r="J112" s="45"/>
    </row>
    <row r="113" spans="1:10" ht="17.25" customHeight="1">
      <c r="A113" s="31" t="s">
        <v>297</v>
      </c>
      <c r="B113" s="104" t="s">
        <v>298</v>
      </c>
      <c r="C113" s="127" t="s">
        <v>299</v>
      </c>
      <c r="D113" s="128">
        <v>67.562</v>
      </c>
      <c r="E113" s="128">
        <v>1</v>
      </c>
      <c r="F113" s="129">
        <f t="shared" si="6"/>
        <v>67.562</v>
      </c>
      <c r="G113" s="77" t="s">
        <v>92</v>
      </c>
      <c r="H113" s="108" t="s">
        <v>140</v>
      </c>
      <c r="I113" s="52"/>
      <c r="J113" s="45"/>
    </row>
    <row r="114" spans="1:10" ht="17.25" customHeight="1">
      <c r="A114" s="31" t="s">
        <v>300</v>
      </c>
      <c r="B114" s="104" t="s">
        <v>301</v>
      </c>
      <c r="C114" s="127" t="s">
        <v>302</v>
      </c>
      <c r="D114" s="128">
        <v>75.703</v>
      </c>
      <c r="E114" s="128">
        <v>1</v>
      </c>
      <c r="F114" s="129">
        <f t="shared" si="6"/>
        <v>75.703</v>
      </c>
      <c r="G114" s="77" t="s">
        <v>92</v>
      </c>
      <c r="H114" s="108" t="s">
        <v>140</v>
      </c>
      <c r="I114" s="52"/>
      <c r="J114" s="45"/>
    </row>
    <row r="115" spans="1:10" ht="17.25" customHeight="1">
      <c r="A115" s="31" t="s">
        <v>303</v>
      </c>
      <c r="B115" s="104" t="s">
        <v>304</v>
      </c>
      <c r="C115" s="127" t="s">
        <v>305</v>
      </c>
      <c r="D115" s="128">
        <v>67.562</v>
      </c>
      <c r="E115" s="128">
        <v>1</v>
      </c>
      <c r="F115" s="129">
        <f t="shared" si="6"/>
        <v>67.562</v>
      </c>
      <c r="G115" s="77" t="s">
        <v>92</v>
      </c>
      <c r="H115" s="108" t="s">
        <v>140</v>
      </c>
      <c r="I115" s="52"/>
      <c r="J115" s="45"/>
    </row>
    <row r="116" spans="1:10" ht="16.5" customHeight="1">
      <c r="A116" s="31"/>
      <c r="B116" s="104"/>
      <c r="C116" s="122" t="s">
        <v>306</v>
      </c>
      <c r="D116" s="128"/>
      <c r="E116" s="128"/>
      <c r="F116" s="129"/>
      <c r="G116" s="77"/>
      <c r="H116" s="108"/>
      <c r="I116" s="52"/>
      <c r="J116" s="45"/>
    </row>
    <row r="117" spans="1:10" ht="17.25" customHeight="1">
      <c r="A117" s="31" t="s">
        <v>307</v>
      </c>
      <c r="B117" s="104" t="s">
        <v>308</v>
      </c>
      <c r="C117" s="127" t="s">
        <v>309</v>
      </c>
      <c r="D117" s="128">
        <v>75.703</v>
      </c>
      <c r="E117" s="128">
        <v>1</v>
      </c>
      <c r="F117" s="129">
        <f aca="true" t="shared" si="7" ref="F117:F119">E117*D117</f>
        <v>75.703</v>
      </c>
      <c r="G117" s="77" t="s">
        <v>92</v>
      </c>
      <c r="H117" s="108" t="s">
        <v>140</v>
      </c>
      <c r="I117" s="52"/>
      <c r="J117" s="45"/>
    </row>
    <row r="118" spans="1:10" ht="17.25" customHeight="1">
      <c r="A118" s="31" t="s">
        <v>310</v>
      </c>
      <c r="B118" s="104" t="s">
        <v>311</v>
      </c>
      <c r="C118" s="127" t="s">
        <v>312</v>
      </c>
      <c r="D118" s="128">
        <v>67.562</v>
      </c>
      <c r="E118" s="128">
        <v>1</v>
      </c>
      <c r="F118" s="129">
        <f t="shared" si="7"/>
        <v>67.562</v>
      </c>
      <c r="G118" s="77" t="s">
        <v>92</v>
      </c>
      <c r="H118" s="108" t="s">
        <v>140</v>
      </c>
      <c r="I118" s="52"/>
      <c r="J118" s="45"/>
    </row>
    <row r="119" spans="1:10" ht="17.25" customHeight="1">
      <c r="A119" s="31" t="s">
        <v>313</v>
      </c>
      <c r="B119" s="104" t="s">
        <v>314</v>
      </c>
      <c r="C119" s="127" t="s">
        <v>315</v>
      </c>
      <c r="D119" s="128">
        <v>75.703</v>
      </c>
      <c r="E119" s="128">
        <v>1</v>
      </c>
      <c r="F119" s="129">
        <f t="shared" si="7"/>
        <v>75.703</v>
      </c>
      <c r="G119" s="77" t="s">
        <v>92</v>
      </c>
      <c r="H119" s="108" t="s">
        <v>140</v>
      </c>
      <c r="I119" s="52"/>
      <c r="J119" s="45"/>
    </row>
    <row r="120" spans="1:10" ht="16.5" customHeight="1">
      <c r="A120" s="31"/>
      <c r="B120" s="104"/>
      <c r="C120" s="122" t="s">
        <v>316</v>
      </c>
      <c r="D120" s="128"/>
      <c r="E120" s="128"/>
      <c r="F120" s="129"/>
      <c r="G120" s="77"/>
      <c r="H120" s="108"/>
      <c r="I120" s="52"/>
      <c r="J120" s="45"/>
    </row>
    <row r="121" spans="1:10" ht="17.25" customHeight="1">
      <c r="A121" s="31" t="s">
        <v>317</v>
      </c>
      <c r="B121" s="104" t="s">
        <v>318</v>
      </c>
      <c r="C121" s="127" t="s">
        <v>319</v>
      </c>
      <c r="D121" s="128">
        <v>57.024</v>
      </c>
      <c r="E121" s="128">
        <v>1</v>
      </c>
      <c r="F121" s="129">
        <f aca="true" t="shared" si="8" ref="F121:F123">E121*D121</f>
        <v>57.024</v>
      </c>
      <c r="G121" s="77" t="s">
        <v>92</v>
      </c>
      <c r="H121" s="108" t="s">
        <v>140</v>
      </c>
      <c r="I121" s="52"/>
      <c r="J121" s="45"/>
    </row>
    <row r="122" spans="1:10" ht="17.25" customHeight="1">
      <c r="A122" s="31" t="s">
        <v>320</v>
      </c>
      <c r="B122" s="104" t="s">
        <v>321</v>
      </c>
      <c r="C122" s="127" t="s">
        <v>322</v>
      </c>
      <c r="D122" s="128">
        <v>67.562</v>
      </c>
      <c r="E122" s="128">
        <v>1</v>
      </c>
      <c r="F122" s="129">
        <f t="shared" si="8"/>
        <v>67.562</v>
      </c>
      <c r="G122" s="77" t="s">
        <v>92</v>
      </c>
      <c r="H122" s="108" t="s">
        <v>140</v>
      </c>
      <c r="I122" s="52"/>
      <c r="J122" s="45"/>
    </row>
    <row r="123" spans="1:10" ht="17.25" customHeight="1">
      <c r="A123" s="31" t="s">
        <v>323</v>
      </c>
      <c r="B123" s="104" t="s">
        <v>324</v>
      </c>
      <c r="C123" s="127" t="s">
        <v>325</v>
      </c>
      <c r="D123" s="128">
        <v>67.562</v>
      </c>
      <c r="E123" s="128">
        <v>1</v>
      </c>
      <c r="F123" s="129">
        <f t="shared" si="8"/>
        <v>67.562</v>
      </c>
      <c r="G123" s="77" t="s">
        <v>92</v>
      </c>
      <c r="H123" s="108" t="s">
        <v>140</v>
      </c>
      <c r="I123" s="52"/>
      <c r="J123" s="45"/>
    </row>
    <row r="124" spans="1:10" ht="16.5" customHeight="1">
      <c r="A124" s="31"/>
      <c r="B124" s="104"/>
      <c r="C124" s="122" t="s">
        <v>326</v>
      </c>
      <c r="D124" s="128"/>
      <c r="E124" s="128"/>
      <c r="F124" s="129"/>
      <c r="G124" s="77"/>
      <c r="H124" s="108"/>
      <c r="I124" s="52"/>
      <c r="J124" s="45"/>
    </row>
    <row r="125" spans="1:10" ht="17.25" customHeight="1">
      <c r="A125" s="31" t="s">
        <v>327</v>
      </c>
      <c r="B125" s="104" t="s">
        <v>328</v>
      </c>
      <c r="C125" s="127" t="s">
        <v>329</v>
      </c>
      <c r="D125" s="128">
        <v>67.562</v>
      </c>
      <c r="E125" s="128">
        <v>1</v>
      </c>
      <c r="F125" s="129">
        <f aca="true" t="shared" si="9" ref="F125:F127">E125*D125</f>
        <v>67.562</v>
      </c>
      <c r="G125" s="77" t="s">
        <v>92</v>
      </c>
      <c r="H125" s="108" t="s">
        <v>140</v>
      </c>
      <c r="I125" s="52"/>
      <c r="J125" s="45"/>
    </row>
    <row r="126" spans="1:10" ht="17.25" customHeight="1">
      <c r="A126" s="31" t="s">
        <v>330</v>
      </c>
      <c r="B126" s="104" t="s">
        <v>331</v>
      </c>
      <c r="C126" s="127" t="s">
        <v>332</v>
      </c>
      <c r="D126" s="128">
        <v>67.562</v>
      </c>
      <c r="E126" s="128">
        <v>1</v>
      </c>
      <c r="F126" s="129">
        <f t="shared" si="9"/>
        <v>67.562</v>
      </c>
      <c r="G126" s="77" t="s">
        <v>92</v>
      </c>
      <c r="H126" s="108" t="s">
        <v>140</v>
      </c>
      <c r="I126" s="52"/>
      <c r="J126" s="45"/>
    </row>
    <row r="127" spans="1:10" ht="17.25" customHeight="1">
      <c r="A127" s="31" t="s">
        <v>333</v>
      </c>
      <c r="B127" s="104" t="s">
        <v>334</v>
      </c>
      <c r="C127" s="127" t="s">
        <v>335</v>
      </c>
      <c r="D127" s="128">
        <v>67.562</v>
      </c>
      <c r="E127" s="128">
        <v>1</v>
      </c>
      <c r="F127" s="129">
        <f t="shared" si="9"/>
        <v>67.562</v>
      </c>
      <c r="G127" s="77" t="s">
        <v>92</v>
      </c>
      <c r="H127" s="108" t="s">
        <v>140</v>
      </c>
      <c r="I127" s="52"/>
      <c r="J127" s="45"/>
    </row>
    <row r="128" spans="1:10" ht="16.5" customHeight="1">
      <c r="A128" s="31"/>
      <c r="B128" s="104"/>
      <c r="C128" s="122" t="s">
        <v>336</v>
      </c>
      <c r="D128" s="128"/>
      <c r="E128" s="128"/>
      <c r="F128" s="129"/>
      <c r="G128" s="77"/>
      <c r="H128" s="108"/>
      <c r="I128" s="52"/>
      <c r="J128" s="45"/>
    </row>
    <row r="129" spans="1:10" ht="17.25" customHeight="1">
      <c r="A129" s="31" t="s">
        <v>337</v>
      </c>
      <c r="B129" s="104" t="s">
        <v>338</v>
      </c>
      <c r="C129" s="127" t="s">
        <v>339</v>
      </c>
      <c r="D129" s="128">
        <v>67.562</v>
      </c>
      <c r="E129" s="128">
        <v>1</v>
      </c>
      <c r="F129" s="129">
        <f aca="true" t="shared" si="10" ref="F129:F131">E129*D129</f>
        <v>67.562</v>
      </c>
      <c r="G129" s="77" t="s">
        <v>92</v>
      </c>
      <c r="H129" s="108" t="s">
        <v>140</v>
      </c>
      <c r="I129" s="52"/>
      <c r="J129" s="45"/>
    </row>
    <row r="130" spans="1:10" ht="17.25" customHeight="1">
      <c r="A130" s="31" t="s">
        <v>340</v>
      </c>
      <c r="B130" s="104" t="s">
        <v>341</v>
      </c>
      <c r="C130" s="127" t="s">
        <v>342</v>
      </c>
      <c r="D130" s="128">
        <v>146.801</v>
      </c>
      <c r="E130" s="128">
        <v>1</v>
      </c>
      <c r="F130" s="129">
        <f t="shared" si="10"/>
        <v>146.801</v>
      </c>
      <c r="G130" s="77" t="s">
        <v>92</v>
      </c>
      <c r="H130" s="108" t="s">
        <v>140</v>
      </c>
      <c r="I130" s="52"/>
      <c r="J130" s="45"/>
    </row>
    <row r="131" spans="1:10" ht="17.25" customHeight="1">
      <c r="A131" s="31" t="s">
        <v>343</v>
      </c>
      <c r="B131" s="104" t="s">
        <v>344</v>
      </c>
      <c r="C131" s="127" t="s">
        <v>345</v>
      </c>
      <c r="D131" s="128">
        <v>94.13</v>
      </c>
      <c r="E131" s="128">
        <v>1</v>
      </c>
      <c r="F131" s="129">
        <f t="shared" si="10"/>
        <v>94.13</v>
      </c>
      <c r="G131" s="77" t="s">
        <v>92</v>
      </c>
      <c r="H131" s="108" t="s">
        <v>140</v>
      </c>
      <c r="I131" s="52"/>
      <c r="J131" s="45"/>
    </row>
    <row r="132" spans="1:10" ht="16.5" customHeight="1">
      <c r="A132" s="31"/>
      <c r="B132" s="104"/>
      <c r="C132" s="122" t="s">
        <v>346</v>
      </c>
      <c r="D132" s="128"/>
      <c r="E132" s="128"/>
      <c r="F132" s="129"/>
      <c r="G132" s="77"/>
      <c r="H132" s="108"/>
      <c r="I132" s="52"/>
      <c r="J132" s="45"/>
    </row>
    <row r="133" spans="1:10" ht="17.25" customHeight="1">
      <c r="A133" s="31" t="s">
        <v>347</v>
      </c>
      <c r="B133" s="104" t="s">
        <v>348</v>
      </c>
      <c r="C133" s="127" t="s">
        <v>349</v>
      </c>
      <c r="D133" s="128">
        <v>75.703</v>
      </c>
      <c r="E133" s="128">
        <v>1</v>
      </c>
      <c r="F133" s="129">
        <f aca="true" t="shared" si="11" ref="F133:F134">E133*D133</f>
        <v>75.703</v>
      </c>
      <c r="G133" s="77" t="s">
        <v>92</v>
      </c>
      <c r="H133" s="108" t="s">
        <v>140</v>
      </c>
      <c r="I133" s="52"/>
      <c r="J133" s="45"/>
    </row>
    <row r="134" spans="1:10" ht="17.25" customHeight="1">
      <c r="A134" s="31" t="s">
        <v>350</v>
      </c>
      <c r="B134" s="104" t="s">
        <v>351</v>
      </c>
      <c r="C134" s="127" t="s">
        <v>352</v>
      </c>
      <c r="D134" s="128">
        <v>94.13</v>
      </c>
      <c r="E134" s="128">
        <v>1</v>
      </c>
      <c r="F134" s="129">
        <f t="shared" si="11"/>
        <v>94.13</v>
      </c>
      <c r="G134" s="77" t="s">
        <v>92</v>
      </c>
      <c r="H134" s="108" t="s">
        <v>140</v>
      </c>
      <c r="I134" s="52"/>
      <c r="J134" s="45"/>
    </row>
    <row r="135" spans="1:10" ht="16.5" customHeight="1">
      <c r="A135" s="31"/>
      <c r="B135" s="104"/>
      <c r="C135" s="122" t="s">
        <v>125</v>
      </c>
      <c r="D135" s="128"/>
      <c r="E135" s="128"/>
      <c r="F135" s="129"/>
      <c r="G135" s="77"/>
      <c r="H135" s="108"/>
      <c r="I135" s="52"/>
      <c r="J135" s="45"/>
    </row>
    <row r="136" spans="1:10" ht="17.25" customHeight="1">
      <c r="A136" s="31" t="s">
        <v>353</v>
      </c>
      <c r="B136" s="104" t="s">
        <v>354</v>
      </c>
      <c r="C136" s="127" t="s">
        <v>355</v>
      </c>
      <c r="D136" s="128">
        <v>94.13</v>
      </c>
      <c r="E136" s="128">
        <v>1</v>
      </c>
      <c r="F136" s="129">
        <f aca="true" t="shared" si="12" ref="F136:F138">E136*D136</f>
        <v>94.13</v>
      </c>
      <c r="G136" s="77" t="s">
        <v>92</v>
      </c>
      <c r="H136" s="108" t="s">
        <v>140</v>
      </c>
      <c r="I136" s="52"/>
      <c r="J136" s="45"/>
    </row>
    <row r="137" spans="1:10" ht="17.25" customHeight="1">
      <c r="A137" s="31" t="s">
        <v>356</v>
      </c>
      <c r="B137" s="104" t="s">
        <v>357</v>
      </c>
      <c r="C137" s="127" t="s">
        <v>358</v>
      </c>
      <c r="D137" s="128">
        <v>94.13</v>
      </c>
      <c r="E137" s="128">
        <v>1</v>
      </c>
      <c r="F137" s="129">
        <f t="shared" si="12"/>
        <v>94.13</v>
      </c>
      <c r="G137" s="77" t="s">
        <v>92</v>
      </c>
      <c r="H137" s="108" t="s">
        <v>140</v>
      </c>
      <c r="I137" s="52"/>
      <c r="J137" s="45"/>
    </row>
    <row r="138" spans="1:10" ht="17.25" customHeight="1">
      <c r="A138" s="31" t="s">
        <v>359</v>
      </c>
      <c r="B138" s="104" t="s">
        <v>360</v>
      </c>
      <c r="C138" s="127" t="s">
        <v>361</v>
      </c>
      <c r="D138" s="128">
        <v>112.477</v>
      </c>
      <c r="E138" s="128">
        <v>1</v>
      </c>
      <c r="F138" s="129">
        <f t="shared" si="12"/>
        <v>112.477</v>
      </c>
      <c r="G138" s="77" t="s">
        <v>92</v>
      </c>
      <c r="H138" s="108" t="s">
        <v>140</v>
      </c>
      <c r="I138" s="52"/>
      <c r="J138" s="45"/>
    </row>
    <row r="139" spans="1:10" ht="16.5" customHeight="1">
      <c r="A139" s="31"/>
      <c r="B139" s="104"/>
      <c r="C139" s="122" t="s">
        <v>362</v>
      </c>
      <c r="D139" s="128"/>
      <c r="E139" s="128"/>
      <c r="F139" s="129"/>
      <c r="G139" s="77"/>
      <c r="H139" s="108"/>
      <c r="I139" s="52"/>
      <c r="J139" s="45"/>
    </row>
    <row r="140" spans="1:10" ht="17.25" customHeight="1">
      <c r="A140" s="31" t="s">
        <v>363</v>
      </c>
      <c r="B140" s="104" t="s">
        <v>364</v>
      </c>
      <c r="C140" s="127" t="s">
        <v>365</v>
      </c>
      <c r="D140" s="128">
        <v>75.703</v>
      </c>
      <c r="E140" s="128">
        <v>1</v>
      </c>
      <c r="F140" s="129">
        <f aca="true" t="shared" si="13" ref="F140:F142">E140*D140</f>
        <v>75.703</v>
      </c>
      <c r="G140" s="77" t="s">
        <v>92</v>
      </c>
      <c r="H140" s="108" t="s">
        <v>140</v>
      </c>
      <c r="I140" s="52"/>
      <c r="J140" s="45"/>
    </row>
    <row r="141" spans="1:10" ht="17.25" customHeight="1">
      <c r="A141" s="31" t="s">
        <v>366</v>
      </c>
      <c r="B141" s="104" t="s">
        <v>367</v>
      </c>
      <c r="C141" s="127" t="s">
        <v>368</v>
      </c>
      <c r="D141" s="128">
        <v>75.703</v>
      </c>
      <c r="E141" s="128">
        <v>1</v>
      </c>
      <c r="F141" s="129">
        <f t="shared" si="13"/>
        <v>75.703</v>
      </c>
      <c r="G141" s="77" t="s">
        <v>92</v>
      </c>
      <c r="H141" s="108" t="s">
        <v>140</v>
      </c>
      <c r="I141" s="52"/>
      <c r="J141" s="45"/>
    </row>
    <row r="142" spans="1:10" ht="17.25" customHeight="1">
      <c r="A142" s="31" t="s">
        <v>369</v>
      </c>
      <c r="B142" s="104" t="s">
        <v>370</v>
      </c>
      <c r="C142" s="127" t="s">
        <v>371</v>
      </c>
      <c r="D142" s="128">
        <v>67.562</v>
      </c>
      <c r="E142" s="128">
        <v>1</v>
      </c>
      <c r="F142" s="129">
        <f t="shared" si="13"/>
        <v>67.562</v>
      </c>
      <c r="G142" s="77" t="s">
        <v>92</v>
      </c>
      <c r="H142" s="108" t="s">
        <v>140</v>
      </c>
      <c r="I142" s="52"/>
      <c r="J142" s="45"/>
    </row>
    <row r="143" spans="1:10" ht="16.5" customHeight="1">
      <c r="A143" s="31"/>
      <c r="B143" s="104"/>
      <c r="C143" s="122" t="s">
        <v>372</v>
      </c>
      <c r="D143" s="128"/>
      <c r="E143" s="128"/>
      <c r="F143" s="129"/>
      <c r="G143" s="77"/>
      <c r="H143" s="108"/>
      <c r="I143" s="52"/>
      <c r="J143" s="45"/>
    </row>
    <row r="144" spans="1:10" ht="17.25" customHeight="1">
      <c r="A144" s="31" t="s">
        <v>373</v>
      </c>
      <c r="B144" s="104" t="s">
        <v>374</v>
      </c>
      <c r="C144" s="127" t="s">
        <v>375</v>
      </c>
      <c r="D144" s="128">
        <v>75.703</v>
      </c>
      <c r="E144" s="128">
        <v>1</v>
      </c>
      <c r="F144" s="129">
        <f aca="true" t="shared" si="14" ref="F144:F146">E144*D144</f>
        <v>75.703</v>
      </c>
      <c r="G144" s="77" t="s">
        <v>92</v>
      </c>
      <c r="H144" s="108" t="s">
        <v>140</v>
      </c>
      <c r="I144" s="52"/>
      <c r="J144" s="45"/>
    </row>
    <row r="145" spans="1:10" ht="17.25" customHeight="1">
      <c r="A145" s="31" t="s">
        <v>376</v>
      </c>
      <c r="B145" s="104" t="s">
        <v>377</v>
      </c>
      <c r="C145" s="127" t="s">
        <v>378</v>
      </c>
      <c r="D145" s="128">
        <v>94.13</v>
      </c>
      <c r="E145" s="128">
        <v>1</v>
      </c>
      <c r="F145" s="129">
        <f t="shared" si="14"/>
        <v>94.13</v>
      </c>
      <c r="G145" s="77" t="s">
        <v>92</v>
      </c>
      <c r="H145" s="108" t="s">
        <v>140</v>
      </c>
      <c r="I145" s="52"/>
      <c r="J145" s="45"/>
    </row>
    <row r="146" spans="1:10" ht="17.25" customHeight="1">
      <c r="A146" s="31" t="s">
        <v>379</v>
      </c>
      <c r="B146" s="104" t="s">
        <v>380</v>
      </c>
      <c r="C146" s="127" t="s">
        <v>381</v>
      </c>
      <c r="D146" s="128">
        <v>67.562</v>
      </c>
      <c r="E146" s="128">
        <v>1</v>
      </c>
      <c r="F146" s="129">
        <f t="shared" si="14"/>
        <v>67.562</v>
      </c>
      <c r="G146" s="77" t="s">
        <v>92</v>
      </c>
      <c r="H146" s="108" t="s">
        <v>140</v>
      </c>
      <c r="I146" s="52"/>
      <c r="J146" s="45"/>
    </row>
    <row r="147" spans="1:10" ht="17.25" customHeight="1">
      <c r="A147" s="31" t="s">
        <v>382</v>
      </c>
      <c r="B147" s="104"/>
      <c r="C147" s="122" t="s">
        <v>383</v>
      </c>
      <c r="D147" s="130"/>
      <c r="E147" s="130"/>
      <c r="F147" s="131">
        <f>F148</f>
        <v>475.56181999999995</v>
      </c>
      <c r="G147" s="77"/>
      <c r="H147" s="108"/>
      <c r="I147" s="52"/>
      <c r="J147" s="45"/>
    </row>
    <row r="148" spans="1:10" ht="17.25" customHeight="1">
      <c r="A148" s="31" t="s">
        <v>384</v>
      </c>
      <c r="B148" s="104"/>
      <c r="C148" s="127" t="s">
        <v>385</v>
      </c>
      <c r="D148" s="128"/>
      <c r="E148" s="128"/>
      <c r="F148" s="129">
        <f>SUM(F149:F175)</f>
        <v>475.56181999999995</v>
      </c>
      <c r="G148" s="77" t="s">
        <v>92</v>
      </c>
      <c r="H148" s="108"/>
      <c r="I148" s="52"/>
      <c r="J148" s="45"/>
    </row>
    <row r="149" spans="1:10" ht="31.5" customHeight="1">
      <c r="A149" s="31" t="s">
        <v>386</v>
      </c>
      <c r="B149" s="104" t="s">
        <v>387</v>
      </c>
      <c r="C149" s="132" t="s">
        <v>388</v>
      </c>
      <c r="D149" s="133">
        <f aca="true" t="shared" si="15" ref="D149:D175">F149/E149</f>
        <v>28.11766666666667</v>
      </c>
      <c r="E149" s="134">
        <v>0.06</v>
      </c>
      <c r="F149" s="135">
        <v>1.68706</v>
      </c>
      <c r="G149" s="77"/>
      <c r="H149" s="108"/>
      <c r="I149" s="52"/>
      <c r="J149" s="45"/>
    </row>
    <row r="150" spans="1:10" ht="31.5" customHeight="1">
      <c r="A150" s="31" t="s">
        <v>389</v>
      </c>
      <c r="B150" s="104" t="s">
        <v>390</v>
      </c>
      <c r="C150" s="132" t="s">
        <v>391</v>
      </c>
      <c r="D150" s="133">
        <f t="shared" si="15"/>
        <v>17.802368421052634</v>
      </c>
      <c r="E150" s="134">
        <v>0.418</v>
      </c>
      <c r="F150" s="135">
        <v>7.44139</v>
      </c>
      <c r="G150" s="77"/>
      <c r="H150" s="108"/>
      <c r="I150" s="52"/>
      <c r="J150" s="45"/>
    </row>
    <row r="151" spans="1:10" ht="45.75" customHeight="1">
      <c r="A151" s="31" t="s">
        <v>392</v>
      </c>
      <c r="B151" s="104" t="s">
        <v>393</v>
      </c>
      <c r="C151" s="132" t="s">
        <v>394</v>
      </c>
      <c r="D151" s="133">
        <f t="shared" si="15"/>
        <v>20.2161875</v>
      </c>
      <c r="E151" s="134">
        <v>0.48</v>
      </c>
      <c r="F151" s="135">
        <v>9.70377</v>
      </c>
      <c r="G151" s="77"/>
      <c r="H151" s="108"/>
      <c r="I151" s="52"/>
      <c r="J151" s="45"/>
    </row>
    <row r="152" spans="1:10" ht="45.75" customHeight="1">
      <c r="A152" s="31" t="s">
        <v>395</v>
      </c>
      <c r="B152" s="104" t="s">
        <v>396</v>
      </c>
      <c r="C152" s="132" t="s">
        <v>397</v>
      </c>
      <c r="D152" s="133">
        <f t="shared" si="15"/>
        <v>17.641352941176468</v>
      </c>
      <c r="E152" s="134">
        <v>0.34</v>
      </c>
      <c r="F152" s="135">
        <v>5.99806</v>
      </c>
      <c r="G152" s="77"/>
      <c r="H152" s="108"/>
      <c r="I152" s="52"/>
      <c r="J152" s="45"/>
    </row>
    <row r="153" spans="1:10" ht="45.75" customHeight="1">
      <c r="A153" s="31" t="s">
        <v>398</v>
      </c>
      <c r="B153" s="104" t="s">
        <v>399</v>
      </c>
      <c r="C153" s="132" t="s">
        <v>400</v>
      </c>
      <c r="D153" s="133">
        <f t="shared" si="15"/>
        <v>22.146846153846155</v>
      </c>
      <c r="E153" s="134">
        <v>0.13</v>
      </c>
      <c r="F153" s="135">
        <v>2.87909</v>
      </c>
      <c r="G153" s="77"/>
      <c r="H153" s="108"/>
      <c r="I153" s="52"/>
      <c r="J153" s="45"/>
    </row>
    <row r="154" spans="1:10" ht="45.75" customHeight="1">
      <c r="A154" s="31" t="s">
        <v>401</v>
      </c>
      <c r="B154" s="104" t="s">
        <v>399</v>
      </c>
      <c r="C154" s="132" t="s">
        <v>402</v>
      </c>
      <c r="D154" s="133">
        <f t="shared" si="15"/>
        <v>22.146846153846155</v>
      </c>
      <c r="E154" s="134">
        <v>0.13</v>
      </c>
      <c r="F154" s="135">
        <v>2.87909</v>
      </c>
      <c r="G154" s="77"/>
      <c r="H154" s="108"/>
      <c r="I154" s="52"/>
      <c r="J154" s="45"/>
    </row>
    <row r="155" spans="1:10" ht="31.5" customHeight="1">
      <c r="A155" s="31" t="s">
        <v>403</v>
      </c>
      <c r="B155" s="104" t="s">
        <v>404</v>
      </c>
      <c r="C155" s="132" t="s">
        <v>405</v>
      </c>
      <c r="D155" s="133">
        <f t="shared" si="15"/>
        <v>21.17254</v>
      </c>
      <c r="E155" s="134">
        <v>0.5</v>
      </c>
      <c r="F155" s="135">
        <v>10.58627</v>
      </c>
      <c r="G155" s="77"/>
      <c r="H155" s="108"/>
      <c r="I155" s="52"/>
      <c r="J155" s="45"/>
    </row>
    <row r="156" spans="1:10" ht="45.75" customHeight="1">
      <c r="A156" s="31" t="s">
        <v>406</v>
      </c>
      <c r="B156" s="104" t="s">
        <v>407</v>
      </c>
      <c r="C156" s="14" t="s">
        <v>408</v>
      </c>
      <c r="D156" s="133">
        <f t="shared" si="15"/>
        <v>21.17254</v>
      </c>
      <c r="E156" s="134">
        <v>0.5</v>
      </c>
      <c r="F156" s="135">
        <v>10.58627</v>
      </c>
      <c r="G156" s="77"/>
      <c r="H156" s="108"/>
      <c r="I156" s="52"/>
      <c r="J156" s="45"/>
    </row>
    <row r="157" spans="1:10" ht="31.5" customHeight="1">
      <c r="A157" s="31" t="s">
        <v>409</v>
      </c>
      <c r="B157" s="104" t="s">
        <v>410</v>
      </c>
      <c r="C157" s="132" t="s">
        <v>411</v>
      </c>
      <c r="D157" s="133">
        <f t="shared" si="15"/>
        <v>21.17254</v>
      </c>
      <c r="E157" s="134">
        <v>0.5</v>
      </c>
      <c r="F157" s="135">
        <v>10.58627</v>
      </c>
      <c r="G157" s="77"/>
      <c r="H157" s="108"/>
      <c r="I157" s="52"/>
      <c r="J157" s="45"/>
    </row>
    <row r="158" spans="1:10" ht="45.75" customHeight="1">
      <c r="A158" s="31" t="s">
        <v>412</v>
      </c>
      <c r="B158" s="104" t="s">
        <v>413</v>
      </c>
      <c r="C158" s="14" t="s">
        <v>414</v>
      </c>
      <c r="D158" s="133">
        <f t="shared" si="15"/>
        <v>28.700499999999998</v>
      </c>
      <c r="E158" s="134">
        <v>0.1</v>
      </c>
      <c r="F158" s="135">
        <v>2.87005</v>
      </c>
      <c r="G158" s="77"/>
      <c r="H158" s="108"/>
      <c r="I158" s="52"/>
      <c r="J158" s="45"/>
    </row>
    <row r="159" spans="1:10" ht="45.75" customHeight="1">
      <c r="A159" s="31" t="s">
        <v>415</v>
      </c>
      <c r="B159" s="104" t="s">
        <v>416</v>
      </c>
      <c r="C159" s="14" t="s">
        <v>417</v>
      </c>
      <c r="D159" s="133">
        <f t="shared" si="15"/>
        <v>16.856030769230767</v>
      </c>
      <c r="E159" s="134">
        <v>2.6</v>
      </c>
      <c r="F159" s="135">
        <v>43.82568</v>
      </c>
      <c r="G159" s="77"/>
      <c r="H159" s="108"/>
      <c r="I159" s="52"/>
      <c r="J159" s="45"/>
    </row>
    <row r="160" spans="1:10" ht="31.5" customHeight="1">
      <c r="A160" s="31" t="s">
        <v>418</v>
      </c>
      <c r="B160" s="104" t="s">
        <v>419</v>
      </c>
      <c r="C160" s="132" t="s">
        <v>420</v>
      </c>
      <c r="D160" s="133">
        <f t="shared" si="15"/>
        <v>19.038097345132744</v>
      </c>
      <c r="E160" s="134">
        <v>1.13</v>
      </c>
      <c r="F160" s="135">
        <v>21.51305</v>
      </c>
      <c r="G160" s="77"/>
      <c r="H160" s="108"/>
      <c r="I160" s="52"/>
      <c r="J160" s="45"/>
    </row>
    <row r="161" spans="1:10" ht="45.75" customHeight="1">
      <c r="A161" s="31" t="s">
        <v>421</v>
      </c>
      <c r="B161" s="104" t="s">
        <v>422</v>
      </c>
      <c r="C161" s="14" t="s">
        <v>423</v>
      </c>
      <c r="D161" s="133">
        <f t="shared" si="15"/>
        <v>19.578249999999997</v>
      </c>
      <c r="E161" s="134">
        <v>0.68</v>
      </c>
      <c r="F161" s="135">
        <v>13.31321</v>
      </c>
      <c r="G161" s="77"/>
      <c r="H161" s="108"/>
      <c r="I161" s="52"/>
      <c r="J161" s="45"/>
    </row>
    <row r="162" spans="1:10" ht="31.5" customHeight="1">
      <c r="A162" s="31" t="s">
        <v>424</v>
      </c>
      <c r="B162" s="104" t="s">
        <v>404</v>
      </c>
      <c r="C162" s="132" t="s">
        <v>425</v>
      </c>
      <c r="D162" s="133">
        <f t="shared" si="15"/>
        <v>21.30676595744681</v>
      </c>
      <c r="E162" s="134">
        <v>0.47</v>
      </c>
      <c r="F162" s="135">
        <v>10.01418</v>
      </c>
      <c r="G162" s="77"/>
      <c r="H162" s="108"/>
      <c r="I162" s="52"/>
      <c r="J162" s="45"/>
    </row>
    <row r="163" spans="1:10" ht="31.5" customHeight="1">
      <c r="A163" s="31" t="s">
        <v>426</v>
      </c>
      <c r="B163" s="104" t="s">
        <v>427</v>
      </c>
      <c r="C163" s="132" t="s">
        <v>428</v>
      </c>
      <c r="D163" s="133">
        <f t="shared" si="15"/>
        <v>19.221999999999998</v>
      </c>
      <c r="E163" s="134">
        <v>0.17</v>
      </c>
      <c r="F163" s="135">
        <v>3.26774</v>
      </c>
      <c r="G163" s="77"/>
      <c r="H163" s="108"/>
      <c r="I163" s="52"/>
      <c r="J163" s="45"/>
    </row>
    <row r="164" spans="1:10" ht="45.75" customHeight="1">
      <c r="A164" s="31" t="s">
        <v>429</v>
      </c>
      <c r="B164" s="104" t="s">
        <v>430</v>
      </c>
      <c r="C164" s="14" t="s">
        <v>431</v>
      </c>
      <c r="D164" s="133">
        <f t="shared" si="15"/>
        <v>17.509657142857144</v>
      </c>
      <c r="E164" s="134">
        <v>0.35</v>
      </c>
      <c r="F164" s="135">
        <v>6.12838</v>
      </c>
      <c r="G164" s="77"/>
      <c r="H164" s="108"/>
      <c r="I164" s="52"/>
      <c r="J164" s="45"/>
    </row>
    <row r="165" spans="1:10" ht="45.75" customHeight="1">
      <c r="A165" s="31" t="s">
        <v>432</v>
      </c>
      <c r="B165" s="104" t="s">
        <v>433</v>
      </c>
      <c r="C165" s="14" t="s">
        <v>434</v>
      </c>
      <c r="D165" s="133">
        <f t="shared" si="15"/>
        <v>20.60433333333333</v>
      </c>
      <c r="E165" s="134">
        <v>0.30000000000000004</v>
      </c>
      <c r="F165" s="135">
        <v>6.1813</v>
      </c>
      <c r="G165" s="77"/>
      <c r="H165" s="108"/>
      <c r="I165" s="52"/>
      <c r="J165" s="45"/>
    </row>
    <row r="166" spans="1:10" ht="31.5" customHeight="1">
      <c r="A166" s="31" t="s">
        <v>435</v>
      </c>
      <c r="B166" s="104" t="s">
        <v>436</v>
      </c>
      <c r="C166" s="132" t="s">
        <v>437</v>
      </c>
      <c r="D166" s="133">
        <f t="shared" si="15"/>
        <v>19.920949999999998</v>
      </c>
      <c r="E166" s="134">
        <v>0.2</v>
      </c>
      <c r="F166" s="135">
        <v>3.98419</v>
      </c>
      <c r="G166" s="77"/>
      <c r="H166" s="108"/>
      <c r="I166" s="52"/>
      <c r="J166" s="45"/>
    </row>
    <row r="167" spans="1:10" ht="45.75" customHeight="1">
      <c r="A167" s="31" t="s">
        <v>438</v>
      </c>
      <c r="B167" s="104" t="s">
        <v>439</v>
      </c>
      <c r="C167" s="132" t="s">
        <v>440</v>
      </c>
      <c r="D167" s="133">
        <f t="shared" si="15"/>
        <v>21.342714285714287</v>
      </c>
      <c r="E167" s="134">
        <v>0.07</v>
      </c>
      <c r="F167" s="135">
        <v>1.4939900000000002</v>
      </c>
      <c r="G167" s="77"/>
      <c r="H167" s="108"/>
      <c r="I167" s="52"/>
      <c r="J167" s="45"/>
    </row>
    <row r="168" spans="1:10" ht="31.5" customHeight="1">
      <c r="A168" s="31" t="s">
        <v>441</v>
      </c>
      <c r="B168" s="104" t="s">
        <v>442</v>
      </c>
      <c r="C168" s="132" t="s">
        <v>443</v>
      </c>
      <c r="D168" s="133">
        <f t="shared" si="15"/>
        <v>15.476219862227326</v>
      </c>
      <c r="E168" s="134">
        <v>3.484</v>
      </c>
      <c r="F168" s="135">
        <v>53.91915</v>
      </c>
      <c r="G168" s="77"/>
      <c r="H168" s="108"/>
      <c r="I168" s="52"/>
      <c r="J168" s="45"/>
    </row>
    <row r="169" spans="1:10" ht="31.5" customHeight="1">
      <c r="A169" s="31" t="s">
        <v>444</v>
      </c>
      <c r="B169" s="104" t="s">
        <v>445</v>
      </c>
      <c r="C169" s="132" t="s">
        <v>446</v>
      </c>
      <c r="D169" s="133">
        <f t="shared" si="15"/>
        <v>15.778525000000002</v>
      </c>
      <c r="E169" s="134">
        <v>2.8</v>
      </c>
      <c r="F169" s="135">
        <v>44.17987</v>
      </c>
      <c r="G169" s="77"/>
      <c r="H169" s="108"/>
      <c r="I169" s="52"/>
      <c r="J169" s="45"/>
    </row>
    <row r="170" spans="1:10" ht="31.5" customHeight="1">
      <c r="A170" s="31" t="s">
        <v>447</v>
      </c>
      <c r="B170" s="104" t="s">
        <v>448</v>
      </c>
      <c r="C170" s="132" t="s">
        <v>449</v>
      </c>
      <c r="D170" s="133">
        <f t="shared" si="15"/>
        <v>16.61932</v>
      </c>
      <c r="E170" s="134">
        <v>1.5</v>
      </c>
      <c r="F170" s="135">
        <v>24.92898</v>
      </c>
      <c r="G170" s="77"/>
      <c r="H170" s="108"/>
      <c r="I170" s="52"/>
      <c r="J170" s="45"/>
    </row>
    <row r="171" spans="1:10" ht="31.5" customHeight="1">
      <c r="A171" s="31" t="s">
        <v>450</v>
      </c>
      <c r="B171" s="104" t="s">
        <v>451</v>
      </c>
      <c r="C171" s="132" t="s">
        <v>452</v>
      </c>
      <c r="D171" s="133">
        <f t="shared" si="15"/>
        <v>16.61932</v>
      </c>
      <c r="E171" s="134">
        <v>1.5</v>
      </c>
      <c r="F171" s="135">
        <v>24.92898</v>
      </c>
      <c r="G171" s="77"/>
      <c r="H171" s="108"/>
      <c r="I171" s="52"/>
      <c r="J171" s="45"/>
    </row>
    <row r="172" spans="1:10" ht="31.5" customHeight="1">
      <c r="A172" s="31" t="s">
        <v>453</v>
      </c>
      <c r="B172" s="104" t="s">
        <v>454</v>
      </c>
      <c r="C172" s="132" t="s">
        <v>455</v>
      </c>
      <c r="D172" s="133">
        <f t="shared" si="15"/>
        <v>16.684194664031622</v>
      </c>
      <c r="E172" s="134">
        <v>2.024</v>
      </c>
      <c r="F172" s="135">
        <v>33.76881</v>
      </c>
      <c r="G172" s="77"/>
      <c r="H172" s="108"/>
      <c r="I172" s="52"/>
      <c r="J172" s="45"/>
    </row>
    <row r="173" spans="1:10" ht="31.5" customHeight="1">
      <c r="A173" s="31" t="s">
        <v>456</v>
      </c>
      <c r="B173" s="104" t="s">
        <v>457</v>
      </c>
      <c r="C173" s="132" t="s">
        <v>458</v>
      </c>
      <c r="D173" s="133">
        <f t="shared" si="15"/>
        <v>18.54289</v>
      </c>
      <c r="E173" s="134">
        <v>1</v>
      </c>
      <c r="F173" s="135">
        <v>18.54289</v>
      </c>
      <c r="G173" s="77"/>
      <c r="H173" s="108"/>
      <c r="I173" s="52"/>
      <c r="J173" s="45"/>
    </row>
    <row r="174" spans="1:10" ht="31.5" customHeight="1">
      <c r="A174" s="31" t="s">
        <v>459</v>
      </c>
      <c r="B174" s="104" t="s">
        <v>460</v>
      </c>
      <c r="C174" s="132" t="s">
        <v>461</v>
      </c>
      <c r="D174" s="133">
        <f t="shared" si="15"/>
        <v>16.912362886597936</v>
      </c>
      <c r="E174" s="134">
        <v>4.85</v>
      </c>
      <c r="F174" s="135">
        <v>82.02496</v>
      </c>
      <c r="G174" s="77"/>
      <c r="H174" s="108"/>
      <c r="I174" s="52"/>
      <c r="J174" s="45"/>
    </row>
    <row r="175" spans="1:10" ht="31.5" customHeight="1">
      <c r="A175" s="31" t="s">
        <v>462</v>
      </c>
      <c r="B175" s="104" t="s">
        <v>463</v>
      </c>
      <c r="C175" s="132" t="s">
        <v>464</v>
      </c>
      <c r="D175" s="133">
        <f t="shared" si="15"/>
        <v>17.795281553398056</v>
      </c>
      <c r="E175" s="134">
        <v>1.03</v>
      </c>
      <c r="F175" s="135">
        <v>18.32914</v>
      </c>
      <c r="G175" s="77"/>
      <c r="H175" s="108"/>
      <c r="I175" s="52"/>
      <c r="J175" s="45"/>
    </row>
    <row r="176" spans="1:10" ht="16.5" customHeight="1">
      <c r="A176" s="136" t="s">
        <v>14</v>
      </c>
      <c r="B176" s="136"/>
      <c r="C176" s="136"/>
      <c r="D176" s="136"/>
      <c r="E176" s="136"/>
      <c r="F176" s="137">
        <f>F147+F104+F80+F68+F58+F50+F45+F40+F23+F15+F10+F5</f>
        <v>100217.59901999998</v>
      </c>
      <c r="G176" s="138" t="s">
        <v>465</v>
      </c>
      <c r="H176" s="138" t="s">
        <v>465</v>
      </c>
      <c r="I176" s="138" t="s">
        <v>465</v>
      </c>
      <c r="J176" s="138" t="s">
        <v>465</v>
      </c>
    </row>
    <row r="177" ht="15.75" customHeight="1">
      <c r="F177" s="139"/>
    </row>
    <row r="178" spans="1:10" ht="15.75" customHeight="1">
      <c r="A178" s="12" t="s">
        <v>466</v>
      </c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.75" customHeight="1">
      <c r="A179" s="140" t="s">
        <v>467</v>
      </c>
      <c r="B179" s="140"/>
      <c r="C179" s="140"/>
      <c r="D179" s="140"/>
      <c r="E179" s="140"/>
      <c r="F179" s="140"/>
      <c r="G179" s="140"/>
      <c r="H179" s="140"/>
      <c r="I179" s="140"/>
      <c r="J179" s="140"/>
    </row>
    <row r="65480" ht="1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A176:E176"/>
    <mergeCell ref="A178:J178"/>
    <mergeCell ref="A179:J179"/>
  </mergeCells>
  <printOptions horizontalCentered="1"/>
  <pageMargins left="0.8659722222222223" right="0.3402777777777778" top="0.21666666666666667" bottom="0.21666666666666667" header="0.5118055555555555" footer="0.5118055555555555"/>
  <pageSetup horizontalDpi="300" verticalDpi="300" orientation="portrait" paperSize="9" scale="4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A1"/>
  <sheetViews>
    <sheetView zoomScale="75" zoomScaleNormal="75" workbookViewId="0" topLeftCell="A1">
      <selection activeCell="G16" sqref="G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A1"/>
  <sheetViews>
    <sheetView zoomScale="75" zoomScaleNormal="75" workbookViewId="0" topLeftCell="A1">
      <pane ySplit="6" topLeftCell="A7" activePane="bottomLeft" state="frozen"/>
      <selection pane="topLeft" activeCell="A1" sqref="A1"/>
      <selection pane="bottomLeft" activeCell="N18" sqref="N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A1"/>
  <sheetViews>
    <sheetView zoomScale="73" zoomScaleNormal="73" workbookViewId="0" topLeftCell="D34">
      <selection activeCell="A20" sqref="A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:A1"/>
  <sheetViews>
    <sheetView zoomScale="75" zoomScaleNormal="75" workbookViewId="0" topLeftCell="A1">
      <selection activeCell="N8" sqref="N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43"/>
    <pageSetUpPr fitToPage="1"/>
  </sheetPr>
  <dimension ref="A1:M17"/>
  <sheetViews>
    <sheetView zoomScale="75" zoomScaleNormal="75" workbookViewId="0" topLeftCell="A4">
      <selection activeCell="F15" sqref="F15"/>
    </sheetView>
  </sheetViews>
  <sheetFormatPr defaultColWidth="9.140625" defaultRowHeight="12.75"/>
  <cols>
    <col min="1" max="1" width="5.7109375" style="14" customWidth="1"/>
    <col min="2" max="2" width="17.7109375" style="14" customWidth="1"/>
    <col min="3" max="3" width="20.140625" style="14" customWidth="1"/>
    <col min="4" max="4" width="13.28125" style="14" customWidth="1"/>
    <col min="5" max="5" width="10.57421875" style="14" customWidth="1"/>
    <col min="6" max="6" width="12.421875" style="14" customWidth="1"/>
    <col min="7" max="7" width="10.421875" style="14" customWidth="1"/>
    <col min="8" max="8" width="12.57421875" style="14" customWidth="1"/>
    <col min="9" max="9" width="9.00390625" style="14" customWidth="1"/>
    <col min="10" max="13" width="13.57421875" style="14" customWidth="1"/>
    <col min="14" max="16384" width="9.140625" style="14" customWidth="1"/>
  </cols>
  <sheetData>
    <row r="1" spans="1:13" s="12" customFormat="1" ht="27.75" customHeight="1">
      <c r="A1" s="2" t="s">
        <v>468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2" customFormat="1" ht="18" customHeight="1">
      <c r="A2" s="3" t="s">
        <v>1</v>
      </c>
      <c r="B2" s="3" t="s">
        <v>24</v>
      </c>
      <c r="C2" s="3"/>
      <c r="D2" s="5" t="s">
        <v>3</v>
      </c>
      <c r="E2" s="5"/>
      <c r="F2" s="3" t="s">
        <v>469</v>
      </c>
      <c r="G2" s="3"/>
      <c r="H2" s="3"/>
      <c r="I2" s="3"/>
      <c r="J2" s="3"/>
      <c r="K2" s="3"/>
      <c r="L2" s="3"/>
      <c r="M2" s="3"/>
    </row>
    <row r="3" spans="1:13" s="141" customFormat="1" ht="30.75" customHeight="1">
      <c r="A3" s="3"/>
      <c r="B3" s="3"/>
      <c r="C3" s="3"/>
      <c r="D3" s="5"/>
      <c r="E3" s="5"/>
      <c r="F3" s="5">
        <v>2016</v>
      </c>
      <c r="G3" s="5"/>
      <c r="H3" s="5"/>
      <c r="I3" s="5"/>
      <c r="J3" s="30">
        <v>2017</v>
      </c>
      <c r="K3" s="30">
        <v>2018</v>
      </c>
      <c r="L3" s="30">
        <v>2019</v>
      </c>
      <c r="M3" s="30">
        <v>2020</v>
      </c>
    </row>
    <row r="4" spans="1:13" s="141" customFormat="1" ht="33" customHeight="1">
      <c r="A4" s="3"/>
      <c r="B4" s="3"/>
      <c r="C4" s="3"/>
      <c r="D4" s="3" t="s">
        <v>31</v>
      </c>
      <c r="E4" s="3" t="s">
        <v>6</v>
      </c>
      <c r="F4" s="3" t="s">
        <v>32</v>
      </c>
      <c r="G4" s="3"/>
      <c r="H4" s="3" t="s">
        <v>470</v>
      </c>
      <c r="I4" s="3"/>
      <c r="J4" s="3" t="s">
        <v>31</v>
      </c>
      <c r="K4" s="3" t="s">
        <v>31</v>
      </c>
      <c r="L4" s="3" t="s">
        <v>31</v>
      </c>
      <c r="M4" s="3" t="s">
        <v>31</v>
      </c>
    </row>
    <row r="5" spans="1:13" s="12" customFormat="1" ht="17.25" customHeight="1">
      <c r="A5" s="3"/>
      <c r="B5" s="3"/>
      <c r="C5" s="3"/>
      <c r="D5" s="3"/>
      <c r="E5" s="3"/>
      <c r="F5" s="3" t="s">
        <v>31</v>
      </c>
      <c r="G5" s="3" t="s">
        <v>6</v>
      </c>
      <c r="H5" s="3" t="s">
        <v>36</v>
      </c>
      <c r="I5" s="3" t="s">
        <v>6</v>
      </c>
      <c r="J5" s="3"/>
      <c r="K5" s="3"/>
      <c r="L5" s="3"/>
      <c r="M5" s="3"/>
    </row>
    <row r="6" spans="1:13" s="12" customFormat="1" ht="15">
      <c r="A6" s="3">
        <v>1</v>
      </c>
      <c r="B6" s="3">
        <v>2</v>
      </c>
      <c r="C6" s="3"/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1:13" ht="45.75" customHeight="1">
      <c r="A7" s="3">
        <v>1</v>
      </c>
      <c r="B7" s="3" t="s">
        <v>471</v>
      </c>
      <c r="C7" s="3"/>
      <c r="D7" s="8">
        <f>F7+J7+K7+L7+M7</f>
        <v>18824.6</v>
      </c>
      <c r="E7" s="9">
        <v>0.8152715899421509</v>
      </c>
      <c r="F7" s="8">
        <f>SUM(F8:F15)</f>
        <v>3764.92</v>
      </c>
      <c r="G7" s="9">
        <f>F7/F17</f>
        <v>0.9828743878115765</v>
      </c>
      <c r="H7" s="8"/>
      <c r="I7" s="32"/>
      <c r="J7" s="8">
        <f>SUM(J8:J15)</f>
        <v>3764.92</v>
      </c>
      <c r="K7" s="8">
        <f>SUM(K8:K15)</f>
        <v>3764.92</v>
      </c>
      <c r="L7" s="8">
        <f>SUM(L8:L15)</f>
        <v>3764.92</v>
      </c>
      <c r="M7" s="8">
        <f>SUM(M8:M15)</f>
        <v>3764.92</v>
      </c>
    </row>
    <row r="8" spans="1:13" ht="31.5" customHeight="1">
      <c r="A8" s="31" t="s">
        <v>39</v>
      </c>
      <c r="B8" s="3" t="s">
        <v>472</v>
      </c>
      <c r="C8" s="3"/>
      <c r="D8" s="8"/>
      <c r="E8" s="9"/>
      <c r="F8" s="10"/>
      <c r="G8" s="9"/>
      <c r="H8" s="10"/>
      <c r="I8" s="32"/>
      <c r="J8" s="10"/>
      <c r="K8" s="10"/>
      <c r="L8" s="10"/>
      <c r="M8" s="10"/>
    </row>
    <row r="9" spans="1:13" ht="59.25" customHeight="1">
      <c r="A9" s="31" t="s">
        <v>51</v>
      </c>
      <c r="B9" s="3" t="s">
        <v>473</v>
      </c>
      <c r="C9" s="3"/>
      <c r="D9" s="8"/>
      <c r="E9" s="9"/>
      <c r="F9" s="10">
        <v>255</v>
      </c>
      <c r="G9" s="9">
        <f>F9/F17</f>
        <v>0.06657059615926819</v>
      </c>
      <c r="H9" s="10"/>
      <c r="I9" s="32"/>
      <c r="J9" s="10">
        <v>255</v>
      </c>
      <c r="K9" s="10">
        <v>255</v>
      </c>
      <c r="L9" s="10">
        <v>255</v>
      </c>
      <c r="M9" s="10">
        <v>255</v>
      </c>
    </row>
    <row r="10" spans="1:13" ht="21.75" customHeight="1">
      <c r="A10" s="31" t="s">
        <v>59</v>
      </c>
      <c r="B10" s="3" t="s">
        <v>474</v>
      </c>
      <c r="C10" s="3" t="s">
        <v>475</v>
      </c>
      <c r="D10" s="8"/>
      <c r="E10" s="9"/>
      <c r="F10" s="10"/>
      <c r="G10" s="9"/>
      <c r="H10" s="10"/>
      <c r="I10" s="32"/>
      <c r="J10" s="10"/>
      <c r="K10" s="10"/>
      <c r="L10" s="10"/>
      <c r="M10" s="10"/>
    </row>
    <row r="11" spans="1:13" ht="38.25" customHeight="1">
      <c r="A11" s="31"/>
      <c r="B11" s="3"/>
      <c r="C11" s="3" t="s">
        <v>476</v>
      </c>
      <c r="D11" s="8"/>
      <c r="E11" s="9"/>
      <c r="F11" s="10"/>
      <c r="G11" s="9"/>
      <c r="H11" s="10"/>
      <c r="I11" s="32"/>
      <c r="J11" s="10"/>
      <c r="K11" s="10"/>
      <c r="L11" s="10"/>
      <c r="M11" s="10"/>
    </row>
    <row r="12" spans="1:13" ht="32.25" customHeight="1">
      <c r="A12" s="31" t="s">
        <v>64</v>
      </c>
      <c r="B12" s="3" t="s">
        <v>477</v>
      </c>
      <c r="C12" s="3"/>
      <c r="D12" s="8"/>
      <c r="E12" s="9"/>
      <c r="F12" s="8"/>
      <c r="G12" s="9"/>
      <c r="H12" s="8"/>
      <c r="I12" s="32"/>
      <c r="J12" s="8"/>
      <c r="K12" s="8"/>
      <c r="L12" s="8"/>
      <c r="M12" s="8"/>
    </row>
    <row r="13" spans="1:13" ht="15" customHeight="1">
      <c r="A13" s="31"/>
      <c r="B13" s="142" t="s">
        <v>478</v>
      </c>
      <c r="C13" s="142"/>
      <c r="D13" s="8">
        <f aca="true" t="shared" si="0" ref="D13:D14">F13+J13+K13+L13+M13</f>
        <v>13500</v>
      </c>
      <c r="E13" s="9"/>
      <c r="F13" s="10">
        <v>2700</v>
      </c>
      <c r="G13" s="9">
        <f>F13/F17</f>
        <v>0.7048651358040162</v>
      </c>
      <c r="H13" s="10"/>
      <c r="I13" s="32"/>
      <c r="J13" s="10">
        <v>2700</v>
      </c>
      <c r="K13" s="10">
        <v>2700</v>
      </c>
      <c r="L13" s="10">
        <v>2700</v>
      </c>
      <c r="M13" s="10">
        <v>2700</v>
      </c>
    </row>
    <row r="14" spans="1:13" ht="15" customHeight="1">
      <c r="A14" s="31"/>
      <c r="B14" s="142" t="s">
        <v>479</v>
      </c>
      <c r="C14" s="142"/>
      <c r="D14" s="8">
        <f t="shared" si="0"/>
        <v>1050</v>
      </c>
      <c r="E14" s="9"/>
      <c r="F14" s="10">
        <v>210</v>
      </c>
      <c r="G14" s="9">
        <f>F14/F17</f>
        <v>0.054822843895867925</v>
      </c>
      <c r="H14" s="10"/>
      <c r="I14" s="32"/>
      <c r="J14" s="10">
        <v>210</v>
      </c>
      <c r="K14" s="10">
        <v>210</v>
      </c>
      <c r="L14" s="10">
        <v>210</v>
      </c>
      <c r="M14" s="10">
        <v>210</v>
      </c>
    </row>
    <row r="15" spans="1:13" ht="37.5" customHeight="1">
      <c r="A15" s="31" t="s">
        <v>69</v>
      </c>
      <c r="B15" s="3" t="s">
        <v>480</v>
      </c>
      <c r="C15" s="3"/>
      <c r="D15" s="8"/>
      <c r="E15" s="9"/>
      <c r="F15" s="10">
        <f>394.4+205.52</f>
        <v>599.92</v>
      </c>
      <c r="G15" s="9">
        <f>F15/F17</f>
        <v>0.15661581195242422</v>
      </c>
      <c r="H15" s="10"/>
      <c r="I15" s="32"/>
      <c r="J15" s="10">
        <f>394.4+205.52</f>
        <v>599.92</v>
      </c>
      <c r="K15" s="10">
        <f>394.4+205.52</f>
        <v>599.92</v>
      </c>
      <c r="L15" s="10">
        <f>394.4+205.52</f>
        <v>599.92</v>
      </c>
      <c r="M15" s="10">
        <f>394.4+205.52</f>
        <v>599.92</v>
      </c>
    </row>
    <row r="16" spans="1:13" ht="15" customHeight="1">
      <c r="A16" s="31" t="s">
        <v>74</v>
      </c>
      <c r="B16" s="3" t="s">
        <v>13</v>
      </c>
      <c r="C16" s="3"/>
      <c r="D16" s="8">
        <f aca="true" t="shared" si="1" ref="D16:D17">F16+J16+K16+L16+M16</f>
        <v>328</v>
      </c>
      <c r="E16" s="9">
        <v>0.18472841005784915</v>
      </c>
      <c r="F16" s="10">
        <v>65.6</v>
      </c>
      <c r="G16" s="9">
        <f>F16/F17</f>
        <v>0.0171256121884235</v>
      </c>
      <c r="H16" s="10"/>
      <c r="I16" s="32"/>
      <c r="J16" s="10">
        <v>65.6</v>
      </c>
      <c r="K16" s="10">
        <v>65.6</v>
      </c>
      <c r="L16" s="10">
        <v>65.6</v>
      </c>
      <c r="M16" s="10">
        <v>65.6</v>
      </c>
    </row>
    <row r="17" spans="1:13" ht="15" customHeight="1">
      <c r="A17" s="3" t="s">
        <v>14</v>
      </c>
      <c r="B17" s="3"/>
      <c r="C17" s="3"/>
      <c r="D17" s="8">
        <f t="shared" si="1"/>
        <v>19152.6</v>
      </c>
      <c r="E17" s="9">
        <v>1</v>
      </c>
      <c r="F17" s="8">
        <f>F7+F16</f>
        <v>3830.52</v>
      </c>
      <c r="G17" s="9">
        <f>SUM(G8:G16)</f>
        <v>1</v>
      </c>
      <c r="H17" s="8"/>
      <c r="I17" s="32"/>
      <c r="J17" s="8">
        <f>J7+J16</f>
        <v>3830.52</v>
      </c>
      <c r="K17" s="8">
        <f>K7+K16</f>
        <v>3830.52</v>
      </c>
      <c r="L17" s="8">
        <f>L7+L16</f>
        <v>3830.52</v>
      </c>
      <c r="M17" s="8">
        <f>M7+M16</f>
        <v>3830.52</v>
      </c>
    </row>
    <row r="18" ht="15.75"/>
  </sheetData>
  <sheetProtection selectLockedCells="1" selectUnlockedCells="1"/>
  <mergeCells count="27">
    <mergeCell ref="A1:M1"/>
    <mergeCell ref="A2:A5"/>
    <mergeCell ref="B2:C5"/>
    <mergeCell ref="D2:E3"/>
    <mergeCell ref="F2:M2"/>
    <mergeCell ref="F3:I3"/>
    <mergeCell ref="D4:D5"/>
    <mergeCell ref="E4:E5"/>
    <mergeCell ref="F4:G4"/>
    <mergeCell ref="H4:I4"/>
    <mergeCell ref="J4:J5"/>
    <mergeCell ref="K4:K5"/>
    <mergeCell ref="L4:L5"/>
    <mergeCell ref="M4:M5"/>
    <mergeCell ref="B6:C6"/>
    <mergeCell ref="B7:C7"/>
    <mergeCell ref="B8:C8"/>
    <mergeCell ref="B9:C9"/>
    <mergeCell ref="A10:A11"/>
    <mergeCell ref="B10:B11"/>
    <mergeCell ref="A12:A14"/>
    <mergeCell ref="B12:C12"/>
    <mergeCell ref="B13:C13"/>
    <mergeCell ref="B14:C14"/>
    <mergeCell ref="B15:C15"/>
    <mergeCell ref="B16:C16"/>
    <mergeCell ref="A17:C17"/>
  </mergeCells>
  <printOptions/>
  <pageMargins left="0.7097222222222223" right="0.39375" top="0.85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43"/>
  </sheetPr>
  <dimension ref="A1:J13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7.00390625" style="14" customWidth="1"/>
    <col min="2" max="2" width="30.7109375" style="14" customWidth="1"/>
    <col min="3" max="3" width="13.7109375" style="14" customWidth="1"/>
    <col min="4" max="4" width="9.57421875" style="14" customWidth="1"/>
    <col min="5" max="5" width="14.140625" style="14" customWidth="1"/>
    <col min="6" max="6" width="9.8515625" style="14" customWidth="1"/>
    <col min="7" max="7" width="13.57421875" style="14" customWidth="1"/>
    <col min="8" max="8" width="13.00390625" style="14" customWidth="1"/>
    <col min="9" max="10" width="12.7109375" style="14" customWidth="1"/>
    <col min="11" max="16384" width="9.140625" style="14" customWidth="1"/>
  </cols>
  <sheetData>
    <row r="1" spans="1:10" ht="22.5" customHeight="1">
      <c r="A1" s="2" t="s">
        <v>481</v>
      </c>
      <c r="B1" s="2"/>
      <c r="C1" s="2"/>
      <c r="D1" s="2"/>
      <c r="E1" s="2"/>
      <c r="F1" s="2"/>
      <c r="G1" s="2"/>
      <c r="H1" s="2"/>
      <c r="I1" s="2"/>
      <c r="J1" s="2"/>
    </row>
    <row r="2" spans="1:10" ht="21.75" customHeight="1">
      <c r="A2" s="3" t="s">
        <v>1</v>
      </c>
      <c r="B2" s="3" t="s">
        <v>24</v>
      </c>
      <c r="C2" s="32" t="s">
        <v>3</v>
      </c>
      <c r="D2" s="32"/>
      <c r="E2" s="3" t="s">
        <v>4</v>
      </c>
      <c r="F2" s="3"/>
      <c r="G2" s="3"/>
      <c r="H2" s="3"/>
      <c r="I2" s="3"/>
      <c r="J2" s="3"/>
    </row>
    <row r="3" spans="1:10" ht="32.25" customHeight="1">
      <c r="A3" s="3"/>
      <c r="B3" s="3"/>
      <c r="C3" s="32"/>
      <c r="D3" s="32"/>
      <c r="E3" s="30">
        <v>2016</v>
      </c>
      <c r="F3" s="30"/>
      <c r="G3" s="30">
        <v>2017</v>
      </c>
      <c r="H3" s="30">
        <v>2018</v>
      </c>
      <c r="I3" s="30">
        <v>2019</v>
      </c>
      <c r="J3" s="30">
        <v>2020</v>
      </c>
    </row>
    <row r="4" spans="1:10" ht="17.25" customHeight="1">
      <c r="A4" s="3"/>
      <c r="B4" s="3"/>
      <c r="C4" s="3" t="s">
        <v>31</v>
      </c>
      <c r="D4" s="3" t="s">
        <v>6</v>
      </c>
      <c r="E4" s="3" t="s">
        <v>32</v>
      </c>
      <c r="F4" s="3"/>
      <c r="G4" s="3" t="s">
        <v>31</v>
      </c>
      <c r="H4" s="3" t="s">
        <v>31</v>
      </c>
      <c r="I4" s="3" t="s">
        <v>31</v>
      </c>
      <c r="J4" s="3" t="s">
        <v>31</v>
      </c>
    </row>
    <row r="5" spans="1:10" ht="17.25" customHeight="1">
      <c r="A5" s="3"/>
      <c r="B5" s="3"/>
      <c r="C5" s="3"/>
      <c r="D5" s="3"/>
      <c r="E5" s="3" t="s">
        <v>31</v>
      </c>
      <c r="F5" s="3" t="s">
        <v>6</v>
      </c>
      <c r="G5" s="3"/>
      <c r="H5" s="3"/>
      <c r="I5" s="3"/>
      <c r="J5" s="3"/>
    </row>
    <row r="6" spans="1:10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93" customHeight="1">
      <c r="A7" s="31" t="s">
        <v>37</v>
      </c>
      <c r="B7" s="3" t="s">
        <v>482</v>
      </c>
      <c r="C7" s="8">
        <f>E7+G7+H7+I7+J7</f>
        <v>3408.2999999999997</v>
      </c>
      <c r="D7" s="9">
        <f>C7/C13</f>
        <v>0.9100448574174944</v>
      </c>
      <c r="E7" s="8">
        <f>SUM(E8:E11)</f>
        <v>681.66</v>
      </c>
      <c r="F7" s="9">
        <f>E7/E13</f>
        <v>0.9100448574174944</v>
      </c>
      <c r="G7" s="8">
        <f>SUM(G8:G11)</f>
        <v>681.66</v>
      </c>
      <c r="H7" s="8">
        <f>SUM(H8:H11)</f>
        <v>681.66</v>
      </c>
      <c r="I7" s="8">
        <f>SUM(I8:I11)</f>
        <v>681.66</v>
      </c>
      <c r="J7" s="8">
        <f>SUM(J8:J11)</f>
        <v>681.66</v>
      </c>
    </row>
    <row r="8" spans="1:10" ht="31.5">
      <c r="A8" s="31" t="s">
        <v>39</v>
      </c>
      <c r="B8" s="3" t="s">
        <v>483</v>
      </c>
      <c r="C8" s="8"/>
      <c r="D8" s="9"/>
      <c r="E8" s="10"/>
      <c r="F8" s="9"/>
      <c r="G8" s="10"/>
      <c r="H8" s="10"/>
      <c r="I8" s="10"/>
      <c r="J8" s="10"/>
    </row>
    <row r="9" spans="1:10" ht="15.75" customHeight="1">
      <c r="A9" s="31" t="s">
        <v>51</v>
      </c>
      <c r="B9" s="3" t="s">
        <v>484</v>
      </c>
      <c r="C9" s="8">
        <f>E9+G9+H9+I9+J9</f>
        <v>3408.2999999999997</v>
      </c>
      <c r="D9" s="9"/>
      <c r="E9" s="10">
        <f>681.66</f>
        <v>681.66</v>
      </c>
      <c r="F9" s="9"/>
      <c r="G9" s="10">
        <f>E9</f>
        <v>681.66</v>
      </c>
      <c r="H9" s="10">
        <f>E9</f>
        <v>681.66</v>
      </c>
      <c r="I9" s="10">
        <f>G9</f>
        <v>681.66</v>
      </c>
      <c r="J9" s="10">
        <f>H9</f>
        <v>681.66</v>
      </c>
    </row>
    <row r="10" spans="1:10" ht="15.75" customHeight="1">
      <c r="A10" s="31" t="s">
        <v>59</v>
      </c>
      <c r="B10" s="3" t="s">
        <v>485</v>
      </c>
      <c r="C10" s="143"/>
      <c r="D10" s="144"/>
      <c r="E10" s="145"/>
      <c r="F10" s="144"/>
      <c r="G10" s="145"/>
      <c r="H10" s="145"/>
      <c r="I10" s="145"/>
      <c r="J10" s="145"/>
    </row>
    <row r="11" spans="1:10" ht="15.75" customHeight="1">
      <c r="A11" s="31" t="s">
        <v>64</v>
      </c>
      <c r="B11" s="3" t="s">
        <v>486</v>
      </c>
      <c r="C11" s="114"/>
      <c r="D11" s="114"/>
      <c r="E11" s="114"/>
      <c r="F11" s="114"/>
      <c r="G11" s="114"/>
      <c r="H11" s="114"/>
      <c r="I11" s="114"/>
      <c r="J11" s="114"/>
    </row>
    <row r="12" spans="1:10" ht="15" customHeight="1">
      <c r="A12" s="31" t="s">
        <v>74</v>
      </c>
      <c r="B12" s="3" t="s">
        <v>13</v>
      </c>
      <c r="C12" s="8">
        <f aca="true" t="shared" si="0" ref="C12:C13">E12+G12+H12+I12+J12</f>
        <v>336.9</v>
      </c>
      <c r="D12" s="9">
        <f>C12/C13</f>
        <v>0.0899551425825056</v>
      </c>
      <c r="E12" s="10">
        <f>67.38</f>
        <v>67.38</v>
      </c>
      <c r="F12" s="9">
        <f>E12/E13</f>
        <v>0.0899551425825056</v>
      </c>
      <c r="G12" s="10">
        <f>E12</f>
        <v>67.38</v>
      </c>
      <c r="H12" s="10">
        <f>E12</f>
        <v>67.38</v>
      </c>
      <c r="I12" s="10">
        <f>E12</f>
        <v>67.38</v>
      </c>
      <c r="J12" s="10">
        <f>E12</f>
        <v>67.38</v>
      </c>
    </row>
    <row r="13" spans="1:10" ht="15.75" customHeight="1">
      <c r="A13" s="3" t="s">
        <v>14</v>
      </c>
      <c r="B13" s="3"/>
      <c r="C13" s="8">
        <f t="shared" si="0"/>
        <v>3745.2</v>
      </c>
      <c r="D13" s="9">
        <f>D7+D12</f>
        <v>1</v>
      </c>
      <c r="E13" s="8">
        <f>SUM(E9:E12)</f>
        <v>749.04</v>
      </c>
      <c r="F13" s="9">
        <f>F12+F7</f>
        <v>1</v>
      </c>
      <c r="G13" s="8">
        <f>SUM(G9:G12)</f>
        <v>749.04</v>
      </c>
      <c r="H13" s="8">
        <f>SUM(H9:H12)</f>
        <v>749.04</v>
      </c>
      <c r="I13" s="8">
        <f>SUM(I9:I12)</f>
        <v>749.04</v>
      </c>
      <c r="J13" s="8">
        <f>SUM(J9:J12)</f>
        <v>749.04</v>
      </c>
    </row>
  </sheetData>
  <sheetProtection selectLockedCells="1" selectUnlockedCells="1"/>
  <mergeCells count="14">
    <mergeCell ref="A1:J1"/>
    <mergeCell ref="A2:A5"/>
    <mergeCell ref="B2:B5"/>
    <mergeCell ref="C2:D3"/>
    <mergeCell ref="E2:J2"/>
    <mergeCell ref="E3:F3"/>
    <mergeCell ref="C4:C5"/>
    <mergeCell ref="D4:D5"/>
    <mergeCell ref="E4:F4"/>
    <mergeCell ref="G4:G5"/>
    <mergeCell ref="H4:H5"/>
    <mergeCell ref="I4:I5"/>
    <mergeCell ref="J4:J5"/>
    <mergeCell ref="A13:B13"/>
  </mergeCells>
  <printOptions/>
  <pageMargins left="0.7798611111111111" right="0.39375" top="0.7097222222222223" bottom="0.9840277777777777" header="0.5118055555555555" footer="0.5118055555555555"/>
  <pageSetup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43"/>
  </sheetPr>
  <dimension ref="A1:M33"/>
  <sheetViews>
    <sheetView zoomScale="75" zoomScaleNormal="75" workbookViewId="0" topLeftCell="A19">
      <selection activeCell="C9" sqref="C9"/>
    </sheetView>
  </sheetViews>
  <sheetFormatPr defaultColWidth="9.140625" defaultRowHeight="12.75"/>
  <cols>
    <col min="1" max="1" width="4.57421875" style="146" customWidth="1"/>
    <col min="2" max="2" width="30.28125" style="147" customWidth="1"/>
    <col min="3" max="3" width="12.7109375" style="21" customWidth="1"/>
    <col min="4" max="4" width="22.8515625" style="21" customWidth="1"/>
    <col min="5" max="5" width="22.140625" style="21" customWidth="1"/>
    <col min="6" max="6" width="23.57421875" style="148" customWidth="1"/>
    <col min="7" max="7" width="28.421875" style="148" customWidth="1"/>
    <col min="8" max="8" width="21.00390625" style="148" customWidth="1"/>
    <col min="9" max="9" width="10.57421875" style="21" customWidth="1"/>
    <col min="10" max="16384" width="9.140625" style="21" customWidth="1"/>
  </cols>
  <sheetData>
    <row r="1" spans="1:9" ht="20.25" customHeight="1">
      <c r="A1" s="149" t="s">
        <v>487</v>
      </c>
      <c r="B1" s="149"/>
      <c r="C1" s="149"/>
      <c r="D1" s="149"/>
      <c r="E1" s="149"/>
      <c r="F1" s="149"/>
      <c r="G1" s="149"/>
      <c r="H1" s="149"/>
      <c r="I1" s="149"/>
    </row>
    <row r="2" spans="1:9" ht="101.25">
      <c r="A2" s="150" t="s">
        <v>1</v>
      </c>
      <c r="B2" s="151" t="s">
        <v>488</v>
      </c>
      <c r="C2" s="151" t="s">
        <v>489</v>
      </c>
      <c r="D2" s="151" t="s">
        <v>490</v>
      </c>
      <c r="E2" s="151" t="s">
        <v>491</v>
      </c>
      <c r="F2" s="151" t="s">
        <v>492</v>
      </c>
      <c r="G2" s="151" t="s">
        <v>493</v>
      </c>
      <c r="H2" s="151" t="s">
        <v>494</v>
      </c>
      <c r="I2" s="151" t="s">
        <v>83</v>
      </c>
    </row>
    <row r="3" spans="1:9" ht="17.25">
      <c r="A3" s="152">
        <v>1</v>
      </c>
      <c r="B3" s="151">
        <v>2</v>
      </c>
      <c r="C3" s="151">
        <v>3</v>
      </c>
      <c r="D3" s="153">
        <v>4</v>
      </c>
      <c r="E3" s="153">
        <v>5</v>
      </c>
      <c r="F3" s="151">
        <v>6</v>
      </c>
      <c r="G3" s="151">
        <v>7</v>
      </c>
      <c r="H3" s="151">
        <v>8</v>
      </c>
      <c r="I3" s="153">
        <v>9</v>
      </c>
    </row>
    <row r="4" spans="1:9" ht="27.75">
      <c r="A4" s="154" t="s">
        <v>37</v>
      </c>
      <c r="B4" s="155" t="s">
        <v>495</v>
      </c>
      <c r="C4" s="156">
        <v>2016</v>
      </c>
      <c r="D4" s="157"/>
      <c r="E4" s="157"/>
      <c r="F4" s="158">
        <f>681.66</f>
        <v>681.66</v>
      </c>
      <c r="G4" s="159"/>
      <c r="H4" s="158"/>
      <c r="I4" s="160"/>
    </row>
    <row r="5" spans="1:9" ht="27.75">
      <c r="A5" s="154" t="s">
        <v>74</v>
      </c>
      <c r="B5" s="161" t="s">
        <v>496</v>
      </c>
      <c r="C5" s="162">
        <v>2016</v>
      </c>
      <c r="D5" s="163"/>
      <c r="E5" s="163"/>
      <c r="F5" s="158">
        <f aca="true" t="shared" si="0" ref="F5:F6">D5</f>
        <v>0</v>
      </c>
      <c r="G5" s="158"/>
      <c r="H5" s="158"/>
      <c r="I5" s="160"/>
    </row>
    <row r="6" spans="1:9" ht="48" customHeight="1">
      <c r="A6" s="154" t="s">
        <v>99</v>
      </c>
      <c r="B6" s="161" t="s">
        <v>497</v>
      </c>
      <c r="C6" s="162">
        <v>2016</v>
      </c>
      <c r="D6" s="163"/>
      <c r="E6" s="163"/>
      <c r="F6" s="158">
        <f t="shared" si="0"/>
        <v>0</v>
      </c>
      <c r="G6" s="158"/>
      <c r="H6" s="158"/>
      <c r="I6" s="160"/>
    </row>
    <row r="7" spans="1:9" ht="31.5">
      <c r="A7" s="154" t="s">
        <v>110</v>
      </c>
      <c r="B7" s="155" t="s">
        <v>498</v>
      </c>
      <c r="C7" s="156">
        <v>2016</v>
      </c>
      <c r="D7" s="157"/>
      <c r="E7" s="157"/>
      <c r="F7" s="158"/>
      <c r="G7" s="158">
        <v>476.06</v>
      </c>
      <c r="H7" s="158"/>
      <c r="I7" s="160"/>
    </row>
    <row r="8" spans="1:9" ht="31.5">
      <c r="A8" s="154" t="s">
        <v>499</v>
      </c>
      <c r="B8" s="155" t="s">
        <v>500</v>
      </c>
      <c r="C8" s="156">
        <v>2017</v>
      </c>
      <c r="D8" s="157"/>
      <c r="E8" s="157"/>
      <c r="F8" s="164"/>
      <c r="G8" s="164">
        <f>950</f>
        <v>950</v>
      </c>
      <c r="H8" s="159"/>
      <c r="I8" s="160"/>
    </row>
    <row r="9" spans="1:9" ht="35.25" customHeight="1">
      <c r="A9" s="154" t="s">
        <v>501</v>
      </c>
      <c r="B9" s="155" t="s">
        <v>502</v>
      </c>
      <c r="C9" s="156">
        <v>2017</v>
      </c>
      <c r="D9" s="157"/>
      <c r="E9" s="157"/>
      <c r="F9" s="164"/>
      <c r="G9" s="164">
        <f>610</f>
        <v>610</v>
      </c>
      <c r="H9" s="159"/>
      <c r="I9" s="160"/>
    </row>
    <row r="10" spans="1:9" ht="45.75">
      <c r="A10" s="154" t="s">
        <v>153</v>
      </c>
      <c r="B10" s="165" t="s">
        <v>503</v>
      </c>
      <c r="C10" s="156">
        <v>2017</v>
      </c>
      <c r="D10" s="157"/>
      <c r="E10" s="157"/>
      <c r="F10" s="164"/>
      <c r="G10" s="164">
        <f>55</f>
        <v>55</v>
      </c>
      <c r="H10" s="159"/>
      <c r="I10" s="160"/>
    </row>
    <row r="11" spans="1:9" ht="45.75">
      <c r="A11" s="154" t="s">
        <v>167</v>
      </c>
      <c r="B11" s="161" t="s">
        <v>504</v>
      </c>
      <c r="C11" s="162">
        <v>2017</v>
      </c>
      <c r="D11" s="163"/>
      <c r="E11" s="163"/>
      <c r="F11" s="158"/>
      <c r="G11" s="158">
        <f>60</f>
        <v>60</v>
      </c>
      <c r="H11" s="159"/>
      <c r="I11" s="160"/>
    </row>
    <row r="12" spans="1:9" ht="31.5">
      <c r="A12" s="154" t="s">
        <v>187</v>
      </c>
      <c r="B12" s="155" t="s">
        <v>505</v>
      </c>
      <c r="C12" s="156">
        <v>2018</v>
      </c>
      <c r="D12" s="157"/>
      <c r="E12" s="157"/>
      <c r="F12" s="164"/>
      <c r="G12" s="158">
        <f>900</f>
        <v>900</v>
      </c>
      <c r="H12" s="159"/>
      <c r="I12" s="160"/>
    </row>
    <row r="13" spans="1:9" ht="31.5">
      <c r="A13" s="154" t="s">
        <v>214</v>
      </c>
      <c r="B13" s="155" t="s">
        <v>506</v>
      </c>
      <c r="C13" s="156">
        <v>2018</v>
      </c>
      <c r="D13" s="157"/>
      <c r="E13" s="157"/>
      <c r="F13" s="164"/>
      <c r="G13" s="158">
        <f>610</f>
        <v>610</v>
      </c>
      <c r="H13" s="159"/>
      <c r="I13" s="160"/>
    </row>
    <row r="14" spans="1:9" ht="45.75">
      <c r="A14" s="154" t="s">
        <v>283</v>
      </c>
      <c r="B14" s="161" t="s">
        <v>507</v>
      </c>
      <c r="C14" s="162">
        <v>2018</v>
      </c>
      <c r="D14" s="163"/>
      <c r="E14" s="163"/>
      <c r="F14" s="158"/>
      <c r="G14" s="158">
        <f>60</f>
        <v>60</v>
      </c>
      <c r="H14" s="159"/>
      <c r="I14" s="160"/>
    </row>
    <row r="15" spans="1:9" ht="45.75">
      <c r="A15" s="154" t="s">
        <v>382</v>
      </c>
      <c r="B15" s="161" t="s">
        <v>508</v>
      </c>
      <c r="C15" s="162">
        <v>2018</v>
      </c>
      <c r="D15" s="163"/>
      <c r="E15" s="163"/>
      <c r="F15" s="158"/>
      <c r="G15" s="158">
        <f>55</f>
        <v>55</v>
      </c>
      <c r="H15" s="159"/>
      <c r="I15" s="160"/>
    </row>
    <row r="16" spans="1:9" ht="31.5">
      <c r="A16" s="154" t="s">
        <v>509</v>
      </c>
      <c r="B16" s="161" t="s">
        <v>510</v>
      </c>
      <c r="C16" s="162">
        <v>2019</v>
      </c>
      <c r="D16" s="163"/>
      <c r="E16" s="163"/>
      <c r="F16" s="158"/>
      <c r="G16" s="158">
        <f aca="true" t="shared" si="1" ref="G16:G17">900</f>
        <v>900</v>
      </c>
      <c r="H16" s="159"/>
      <c r="I16" s="160"/>
    </row>
    <row r="17" spans="1:9" ht="35.25" customHeight="1">
      <c r="A17" s="154" t="s">
        <v>511</v>
      </c>
      <c r="B17" s="161" t="s">
        <v>512</v>
      </c>
      <c r="C17" s="162">
        <v>2019</v>
      </c>
      <c r="D17" s="163"/>
      <c r="E17" s="163"/>
      <c r="F17" s="158"/>
      <c r="G17" s="158">
        <f t="shared" si="1"/>
        <v>900</v>
      </c>
      <c r="H17" s="159"/>
      <c r="I17" s="160"/>
    </row>
    <row r="18" spans="1:9" ht="45.75">
      <c r="A18" s="154" t="s">
        <v>513</v>
      </c>
      <c r="B18" s="161" t="s">
        <v>514</v>
      </c>
      <c r="C18" s="162">
        <v>2019</v>
      </c>
      <c r="D18" s="163"/>
      <c r="E18" s="163"/>
      <c r="F18" s="158"/>
      <c r="G18" s="158">
        <f>60</f>
        <v>60</v>
      </c>
      <c r="H18" s="159"/>
      <c r="I18" s="160"/>
    </row>
    <row r="19" spans="1:9" ht="45.75">
      <c r="A19" s="154" t="s">
        <v>515</v>
      </c>
      <c r="B19" s="161" t="s">
        <v>516</v>
      </c>
      <c r="C19" s="162">
        <v>2019</v>
      </c>
      <c r="D19" s="163"/>
      <c r="E19" s="163"/>
      <c r="F19" s="158"/>
      <c r="G19" s="158">
        <f>55</f>
        <v>55</v>
      </c>
      <c r="H19" s="159"/>
      <c r="I19" s="160"/>
    </row>
    <row r="20" spans="1:9" ht="31.5">
      <c r="A20" s="154" t="s">
        <v>517</v>
      </c>
      <c r="B20" s="161" t="s">
        <v>518</v>
      </c>
      <c r="C20" s="162">
        <v>2020</v>
      </c>
      <c r="D20" s="163"/>
      <c r="E20" s="163"/>
      <c r="F20" s="158"/>
      <c r="G20" s="158">
        <f>610</f>
        <v>610</v>
      </c>
      <c r="H20" s="159"/>
      <c r="I20" s="160"/>
    </row>
    <row r="21" spans="1:9" ht="31.5">
      <c r="A21" s="154" t="s">
        <v>519</v>
      </c>
      <c r="B21" s="161" t="s">
        <v>520</v>
      </c>
      <c r="C21" s="162">
        <v>2020</v>
      </c>
      <c r="D21" s="163"/>
      <c r="E21" s="163"/>
      <c r="F21" s="158"/>
      <c r="G21" s="158">
        <f>900</f>
        <v>900</v>
      </c>
      <c r="H21" s="159"/>
      <c r="I21" s="160"/>
    </row>
    <row r="22" spans="1:9" ht="45.75">
      <c r="A22" s="154" t="s">
        <v>521</v>
      </c>
      <c r="B22" s="161" t="s">
        <v>522</v>
      </c>
      <c r="C22" s="162">
        <v>2020</v>
      </c>
      <c r="D22" s="163"/>
      <c r="E22" s="163"/>
      <c r="F22" s="158"/>
      <c r="G22" s="158">
        <f>60</f>
        <v>60</v>
      </c>
      <c r="H22" s="159"/>
      <c r="I22" s="160"/>
    </row>
    <row r="23" spans="1:9" ht="45.75">
      <c r="A23" s="154" t="s">
        <v>523</v>
      </c>
      <c r="B23" s="161" t="s">
        <v>524</v>
      </c>
      <c r="C23" s="162">
        <v>2020</v>
      </c>
      <c r="D23" s="163"/>
      <c r="E23" s="163"/>
      <c r="F23" s="158"/>
      <c r="G23" s="158">
        <f>55*1.2</f>
        <v>66</v>
      </c>
      <c r="H23" s="159"/>
      <c r="I23" s="160"/>
    </row>
    <row r="24" spans="1:9" ht="15.75">
      <c r="A24" s="166" t="s">
        <v>14</v>
      </c>
      <c r="B24" s="166"/>
      <c r="C24" s="167">
        <v>5</v>
      </c>
      <c r="D24" s="168"/>
      <c r="E24" s="169"/>
      <c r="F24" s="170">
        <f>SUM(F4:F6)</f>
        <v>681.66</v>
      </c>
      <c r="G24" s="170">
        <f>SUM(G8:G23)</f>
        <v>6851</v>
      </c>
      <c r="H24" s="170">
        <f>SUM(H25:H28)</f>
        <v>6851</v>
      </c>
      <c r="I24" s="168"/>
    </row>
    <row r="25" spans="1:9" ht="15.75" hidden="1">
      <c r="A25" s="171"/>
      <c r="B25" s="172"/>
      <c r="C25" s="173" t="s">
        <v>525</v>
      </c>
      <c r="D25" s="173"/>
      <c r="E25" s="173"/>
      <c r="F25" s="173"/>
      <c r="G25" s="174" t="s">
        <v>526</v>
      </c>
      <c r="H25" s="175">
        <f>SUM(G8:G11)</f>
        <v>1675</v>
      </c>
      <c r="I25" s="176"/>
    </row>
    <row r="26" spans="1:9" ht="15.75" hidden="1">
      <c r="A26" s="171"/>
      <c r="B26" s="172"/>
      <c r="C26" s="177"/>
      <c r="D26" s="177"/>
      <c r="E26" s="177"/>
      <c r="F26" s="177"/>
      <c r="G26" s="174" t="s">
        <v>527</v>
      </c>
      <c r="H26" s="175">
        <f>SUM(G12:G15)</f>
        <v>1625</v>
      </c>
      <c r="I26" s="176"/>
    </row>
    <row r="27" spans="1:9" ht="15.75" hidden="1">
      <c r="A27" s="171"/>
      <c r="B27" s="172"/>
      <c r="C27" s="177"/>
      <c r="D27" s="177"/>
      <c r="E27" s="177"/>
      <c r="F27" s="177"/>
      <c r="G27" s="174" t="s">
        <v>528</v>
      </c>
      <c r="H27" s="175">
        <f>SUM(G16:G19)</f>
        <v>1915</v>
      </c>
      <c r="I27" s="176"/>
    </row>
    <row r="28" spans="1:9" ht="15.75" hidden="1">
      <c r="A28" s="171"/>
      <c r="B28" s="172"/>
      <c r="C28" s="177"/>
      <c r="D28" s="177"/>
      <c r="E28" s="177"/>
      <c r="F28" s="177"/>
      <c r="G28" s="174" t="s">
        <v>529</v>
      </c>
      <c r="H28" s="175">
        <f>SUM(G20:G23)</f>
        <v>1636</v>
      </c>
      <c r="I28" s="176"/>
    </row>
    <row r="30" spans="1:13" s="19" customFormat="1" ht="15.75">
      <c r="A30" s="15" t="s">
        <v>15</v>
      </c>
      <c r="B30" s="178"/>
      <c r="C30" s="16"/>
      <c r="D30" s="16"/>
      <c r="E30" s="17" t="s">
        <v>16</v>
      </c>
      <c r="F30" s="17"/>
      <c r="G30" s="179" t="s">
        <v>17</v>
      </c>
      <c r="H30" s="17"/>
      <c r="I30" s="17"/>
      <c r="J30" s="17"/>
      <c r="K30" s="16"/>
      <c r="L30" s="16"/>
      <c r="M30" s="16"/>
    </row>
    <row r="31" spans="1:13" s="23" customFormat="1" ht="15" customHeight="1">
      <c r="A31" s="20" t="s">
        <v>18</v>
      </c>
      <c r="B31" s="180"/>
      <c r="C31" s="21"/>
      <c r="D31" s="21"/>
      <c r="E31" s="17" t="s">
        <v>19</v>
      </c>
      <c r="F31" s="17"/>
      <c r="G31" s="181" t="s">
        <v>530</v>
      </c>
      <c r="H31" s="181"/>
      <c r="I31" s="17"/>
      <c r="J31" s="17"/>
      <c r="K31" s="21"/>
      <c r="L31" s="21"/>
      <c r="M31" s="21"/>
    </row>
    <row r="32" spans="1:13" s="19" customFormat="1" ht="14.25">
      <c r="A32" s="24"/>
      <c r="B32" s="182"/>
      <c r="C32" s="16"/>
      <c r="D32" s="16"/>
      <c r="E32" s="16"/>
      <c r="F32" s="17"/>
      <c r="G32" s="17"/>
      <c r="H32" s="17"/>
      <c r="I32" s="16"/>
      <c r="J32" s="16"/>
      <c r="K32" s="16"/>
      <c r="L32" s="16"/>
      <c r="M32" s="16"/>
    </row>
    <row r="33" spans="1:13" s="19" customFormat="1" ht="14.25">
      <c r="A33" s="25" t="s">
        <v>21</v>
      </c>
      <c r="B33" s="25"/>
      <c r="C33" s="25"/>
      <c r="D33" s="25"/>
      <c r="E33" s="26" t="s">
        <v>22</v>
      </c>
      <c r="F33" s="26"/>
      <c r="G33" s="17"/>
      <c r="H33" s="17"/>
      <c r="I33" s="16"/>
      <c r="J33" s="16"/>
      <c r="K33" s="16"/>
      <c r="L33" s="16"/>
      <c r="M33" s="16"/>
    </row>
  </sheetData>
  <sheetProtection selectLockedCells="1" selectUnlockedCells="1"/>
  <mergeCells count="8">
    <mergeCell ref="A1:I1"/>
    <mergeCell ref="A24:B24"/>
    <mergeCell ref="C25:F25"/>
    <mergeCell ref="C26:F26"/>
    <mergeCell ref="C27:F27"/>
    <mergeCell ref="C28:F28"/>
    <mergeCell ref="G31:H31"/>
    <mergeCell ref="A33:D33"/>
  </mergeCells>
  <printOptions/>
  <pageMargins left="0.45" right="0.32013888888888886" top="0.8097222222222222" bottom="0.21666666666666667" header="0.5118055555555555" footer="0.5118055555555555"/>
  <pageSetup horizontalDpi="300" verticalDpi="300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3"/>
  </sheetPr>
  <dimension ref="A1:J28"/>
  <sheetViews>
    <sheetView zoomScale="75" zoomScaleNormal="75" workbookViewId="0" topLeftCell="A1">
      <pane ySplit="6" topLeftCell="A13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140625" style="14" customWidth="1"/>
    <col min="2" max="2" width="42.7109375" style="14" customWidth="1"/>
    <col min="3" max="3" width="13.28125" style="14" customWidth="1"/>
    <col min="4" max="4" width="9.140625" style="14" customWidth="1"/>
    <col min="5" max="5" width="18.8515625" style="14" customWidth="1"/>
    <col min="6" max="6" width="9.140625" style="14" customWidth="1"/>
    <col min="7" max="7" width="13.421875" style="14" customWidth="1"/>
    <col min="8" max="8" width="13.28125" style="14" customWidth="1"/>
    <col min="9" max="9" width="12.57421875" style="14" customWidth="1"/>
    <col min="10" max="10" width="12.28125" style="14" customWidth="1"/>
    <col min="11" max="16384" width="9.140625" style="14" customWidth="1"/>
  </cols>
  <sheetData>
    <row r="1" spans="1:10" ht="25.5" customHeight="1">
      <c r="A1" s="2" t="s">
        <v>531</v>
      </c>
      <c r="B1" s="2"/>
      <c r="C1" s="2"/>
      <c r="D1" s="2"/>
      <c r="E1" s="2"/>
      <c r="F1" s="2"/>
      <c r="G1" s="2"/>
      <c r="H1" s="2"/>
      <c r="I1" s="2"/>
      <c r="J1" s="2"/>
    </row>
    <row r="2" spans="1:10" ht="17.25" customHeight="1">
      <c r="A2" s="3" t="s">
        <v>1</v>
      </c>
      <c r="B2" s="3" t="s">
        <v>24</v>
      </c>
      <c r="C2" s="5" t="s">
        <v>3</v>
      </c>
      <c r="D2" s="5"/>
      <c r="E2" s="3" t="s">
        <v>4</v>
      </c>
      <c r="F2" s="3"/>
      <c r="G2" s="3"/>
      <c r="H2" s="3"/>
      <c r="I2" s="3"/>
      <c r="J2" s="3"/>
    </row>
    <row r="3" spans="1:10" ht="15.75">
      <c r="A3" s="3"/>
      <c r="B3" s="3"/>
      <c r="C3" s="5"/>
      <c r="D3" s="5"/>
      <c r="E3" s="5">
        <v>2016</v>
      </c>
      <c r="F3" s="5"/>
      <c r="G3" s="30">
        <v>2017</v>
      </c>
      <c r="H3" s="30">
        <v>2018</v>
      </c>
      <c r="I3" s="30">
        <v>2019</v>
      </c>
      <c r="J3" s="30">
        <v>2020</v>
      </c>
    </row>
    <row r="4" spans="1:10" ht="18.75" customHeight="1">
      <c r="A4" s="3"/>
      <c r="B4" s="3"/>
      <c r="C4" s="3" t="s">
        <v>31</v>
      </c>
      <c r="D4" s="3" t="s">
        <v>6</v>
      </c>
      <c r="E4" s="3" t="s">
        <v>32</v>
      </c>
      <c r="F4" s="3"/>
      <c r="G4" s="3" t="s">
        <v>31</v>
      </c>
      <c r="H4" s="3" t="s">
        <v>31</v>
      </c>
      <c r="I4" s="3" t="s">
        <v>31</v>
      </c>
      <c r="J4" s="3" t="s">
        <v>31</v>
      </c>
    </row>
    <row r="5" spans="1:10" ht="18.75" customHeight="1">
      <c r="A5" s="3"/>
      <c r="B5" s="3"/>
      <c r="C5" s="3"/>
      <c r="D5" s="3"/>
      <c r="E5" s="3" t="s">
        <v>31</v>
      </c>
      <c r="F5" s="3" t="s">
        <v>6</v>
      </c>
      <c r="G5" s="3"/>
      <c r="H5" s="3"/>
      <c r="I5" s="3"/>
      <c r="J5" s="3"/>
    </row>
    <row r="6" spans="1:10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30">
      <c r="A7" s="3">
        <v>1</v>
      </c>
      <c r="B7" s="3" t="s">
        <v>532</v>
      </c>
      <c r="C7" s="8"/>
      <c r="D7" s="9"/>
      <c r="E7" s="8"/>
      <c r="F7" s="9"/>
      <c r="G7" s="8"/>
      <c r="H7" s="8"/>
      <c r="I7" s="8"/>
      <c r="J7" s="8"/>
    </row>
    <row r="8" spans="1:10" ht="15.75">
      <c r="A8" s="31" t="s">
        <v>39</v>
      </c>
      <c r="B8" s="3" t="s">
        <v>533</v>
      </c>
      <c r="C8" s="8">
        <f aca="true" t="shared" si="0" ref="C8:C10">E8+G8+H8+I8+J8</f>
        <v>2115</v>
      </c>
      <c r="D8" s="9">
        <f>C8/C28</f>
        <v>0.34067571376797007</v>
      </c>
      <c r="E8" s="10">
        <v>423</v>
      </c>
      <c r="F8" s="9">
        <f>E8/E28</f>
        <v>0.34067571376797</v>
      </c>
      <c r="G8" s="10">
        <f>E8</f>
        <v>423</v>
      </c>
      <c r="H8" s="10">
        <f>E8</f>
        <v>423</v>
      </c>
      <c r="I8" s="10">
        <f>E8</f>
        <v>423</v>
      </c>
      <c r="J8" s="10">
        <f>E8</f>
        <v>423</v>
      </c>
    </row>
    <row r="9" spans="1:10" ht="15.75">
      <c r="A9" s="31" t="s">
        <v>51</v>
      </c>
      <c r="B9" s="3" t="s">
        <v>534</v>
      </c>
      <c r="C9" s="8">
        <f t="shared" si="0"/>
        <v>0</v>
      </c>
      <c r="D9" s="9">
        <f>C9/C28</f>
        <v>0</v>
      </c>
      <c r="E9" s="10"/>
      <c r="F9" s="9"/>
      <c r="G9" s="10"/>
      <c r="H9" s="10"/>
      <c r="I9" s="10"/>
      <c r="J9" s="10"/>
    </row>
    <row r="10" spans="1:10" ht="27.75">
      <c r="A10" s="31" t="s">
        <v>59</v>
      </c>
      <c r="B10" s="3" t="s">
        <v>535</v>
      </c>
      <c r="C10" s="8">
        <f t="shared" si="0"/>
        <v>1245.9</v>
      </c>
      <c r="D10" s="9">
        <f>C10/C28</f>
        <v>0.2006845729472879</v>
      </c>
      <c r="E10" s="10">
        <f>57+29.25+162.93</f>
        <v>249.18</v>
      </c>
      <c r="F10" s="9">
        <f>E10/E28</f>
        <v>0.20068457294728786</v>
      </c>
      <c r="G10" s="10">
        <f>57+29.25+162.93</f>
        <v>249.18</v>
      </c>
      <c r="H10" s="10">
        <f>57+29.25+162.93</f>
        <v>249.18</v>
      </c>
      <c r="I10" s="10">
        <f>57+29.25+162.93</f>
        <v>249.18</v>
      </c>
      <c r="J10" s="10">
        <f>57+29.25+162.93</f>
        <v>249.18</v>
      </c>
    </row>
    <row r="11" spans="1:10" ht="31.5">
      <c r="A11" s="31" t="s">
        <v>64</v>
      </c>
      <c r="B11" s="3" t="s">
        <v>536</v>
      </c>
      <c r="C11" s="8"/>
      <c r="D11" s="9"/>
      <c r="E11" s="10"/>
      <c r="F11" s="9"/>
      <c r="G11" s="10"/>
      <c r="H11" s="10"/>
      <c r="I11" s="10"/>
      <c r="J11" s="10"/>
    </row>
    <row r="12" spans="1:10" ht="15.75">
      <c r="A12" s="31" t="s">
        <v>69</v>
      </c>
      <c r="B12" s="3" t="s">
        <v>537</v>
      </c>
      <c r="C12" s="8">
        <f>E12+G12+H12+I12+J12</f>
        <v>1492.7</v>
      </c>
      <c r="D12" s="9">
        <f>C12/C28</f>
        <v>0.24043812668626424</v>
      </c>
      <c r="E12" s="10">
        <f>49.83+144.96+65.25+38.5</f>
        <v>298.54</v>
      </c>
      <c r="F12" s="9">
        <f>E12/E28</f>
        <v>0.24043812668626424</v>
      </c>
      <c r="G12" s="10">
        <f>E12</f>
        <v>298.54</v>
      </c>
      <c r="H12" s="10">
        <f>E12</f>
        <v>298.54</v>
      </c>
      <c r="I12" s="10">
        <f>E12</f>
        <v>298.54</v>
      </c>
      <c r="J12" s="10">
        <f>E12</f>
        <v>298.54</v>
      </c>
    </row>
    <row r="13" spans="1:10" ht="31.5">
      <c r="A13" s="31" t="s">
        <v>74</v>
      </c>
      <c r="B13" s="3" t="s">
        <v>538</v>
      </c>
      <c r="C13" s="8"/>
      <c r="D13" s="9"/>
      <c r="E13" s="8"/>
      <c r="F13" s="9"/>
      <c r="G13" s="8"/>
      <c r="H13" s="8"/>
      <c r="I13" s="8"/>
      <c r="J13" s="8"/>
    </row>
    <row r="14" spans="1:10" ht="17.25">
      <c r="A14" s="31" t="s">
        <v>95</v>
      </c>
      <c r="B14" s="3" t="s">
        <v>539</v>
      </c>
      <c r="C14" s="8"/>
      <c r="D14" s="9"/>
      <c r="E14" s="10"/>
      <c r="F14" s="9"/>
      <c r="G14" s="10"/>
      <c r="H14" s="10"/>
      <c r="I14" s="10"/>
      <c r="J14" s="10"/>
    </row>
    <row r="15" spans="1:10" ht="17.25">
      <c r="A15" s="31" t="s">
        <v>97</v>
      </c>
      <c r="B15" s="3" t="s">
        <v>540</v>
      </c>
      <c r="C15" s="8"/>
      <c r="D15" s="9"/>
      <c r="E15" s="10"/>
      <c r="F15" s="9"/>
      <c r="G15" s="10"/>
      <c r="H15" s="10"/>
      <c r="I15" s="10"/>
      <c r="J15" s="10"/>
    </row>
    <row r="16" spans="1:10" ht="15.75">
      <c r="A16" s="31" t="s">
        <v>541</v>
      </c>
      <c r="B16" s="3" t="s">
        <v>542</v>
      </c>
      <c r="C16" s="8">
        <f>E16+G16+H16+I16+J16</f>
        <v>1354.65</v>
      </c>
      <c r="D16" s="9">
        <f>C16/C28</f>
        <v>0.21820158659847785</v>
      </c>
      <c r="E16" s="10">
        <f>270.93</f>
        <v>270.93</v>
      </c>
      <c r="F16" s="9">
        <f>E16/E28</f>
        <v>0.21820158659847783</v>
      </c>
      <c r="G16" s="10">
        <f>270.93</f>
        <v>270.93</v>
      </c>
      <c r="H16" s="10">
        <f>270.93</f>
        <v>270.93</v>
      </c>
      <c r="I16" s="10">
        <f>270.93</f>
        <v>270.93</v>
      </c>
      <c r="J16" s="10">
        <f>270.93</f>
        <v>270.93</v>
      </c>
    </row>
    <row r="17" spans="1:10" ht="31.5">
      <c r="A17" s="31" t="s">
        <v>99</v>
      </c>
      <c r="B17" s="3" t="s">
        <v>543</v>
      </c>
      <c r="C17" s="8"/>
      <c r="D17" s="9"/>
      <c r="E17" s="8"/>
      <c r="F17" s="9"/>
      <c r="G17" s="8"/>
      <c r="H17" s="8"/>
      <c r="I17" s="8"/>
      <c r="J17" s="8"/>
    </row>
    <row r="18" spans="1:10" ht="17.25">
      <c r="A18" s="31" t="s">
        <v>101</v>
      </c>
      <c r="B18" s="3" t="s">
        <v>544</v>
      </c>
      <c r="C18" s="8"/>
      <c r="D18" s="9"/>
      <c r="E18" s="8"/>
      <c r="F18" s="9"/>
      <c r="G18" s="8"/>
      <c r="H18" s="8"/>
      <c r="I18" s="8"/>
      <c r="J18" s="8"/>
    </row>
    <row r="19" spans="1:10" ht="17.25">
      <c r="A19" s="31" t="s">
        <v>103</v>
      </c>
      <c r="B19" s="3" t="s">
        <v>545</v>
      </c>
      <c r="C19" s="8"/>
      <c r="D19" s="9"/>
      <c r="E19" s="8"/>
      <c r="F19" s="9"/>
      <c r="G19" s="8"/>
      <c r="H19" s="8"/>
      <c r="I19" s="8"/>
      <c r="J19" s="8"/>
    </row>
    <row r="20" spans="1:10" ht="15.75">
      <c r="A20" s="31" t="s">
        <v>546</v>
      </c>
      <c r="B20" s="3" t="s">
        <v>547</v>
      </c>
      <c r="C20" s="8"/>
      <c r="D20" s="9"/>
      <c r="E20" s="8"/>
      <c r="F20" s="9"/>
      <c r="G20" s="8"/>
      <c r="H20" s="8"/>
      <c r="I20" s="8"/>
      <c r="J20" s="8"/>
    </row>
    <row r="21" spans="1:10" ht="17.25">
      <c r="A21" s="31" t="s">
        <v>548</v>
      </c>
      <c r="B21" s="3" t="s">
        <v>549</v>
      </c>
      <c r="C21" s="8"/>
      <c r="D21" s="9"/>
      <c r="E21" s="8"/>
      <c r="F21" s="9"/>
      <c r="G21" s="8"/>
      <c r="H21" s="8"/>
      <c r="I21" s="8"/>
      <c r="J21" s="8"/>
    </row>
    <row r="22" spans="1:10" ht="17.25">
      <c r="A22" s="31" t="s">
        <v>550</v>
      </c>
      <c r="B22" s="3" t="s">
        <v>551</v>
      </c>
      <c r="C22" s="8"/>
      <c r="D22" s="9"/>
      <c r="E22" s="10"/>
      <c r="F22" s="9"/>
      <c r="G22" s="10"/>
      <c r="H22" s="10"/>
      <c r="I22" s="10"/>
      <c r="J22" s="10"/>
    </row>
    <row r="23" spans="1:10" ht="31.5">
      <c r="A23" s="31" t="s">
        <v>552</v>
      </c>
      <c r="B23" s="3" t="s">
        <v>553</v>
      </c>
      <c r="C23" s="8"/>
      <c r="D23" s="9"/>
      <c r="E23" s="10"/>
      <c r="F23" s="9"/>
      <c r="G23" s="10"/>
      <c r="H23" s="10"/>
      <c r="I23" s="10"/>
      <c r="J23" s="10"/>
    </row>
    <row r="24" spans="1:10" ht="31.5">
      <c r="A24" s="31" t="s">
        <v>554</v>
      </c>
      <c r="B24" s="3" t="s">
        <v>555</v>
      </c>
      <c r="C24" s="8"/>
      <c r="D24" s="9"/>
      <c r="E24" s="10"/>
      <c r="F24" s="9"/>
      <c r="G24" s="10"/>
      <c r="H24" s="10"/>
      <c r="I24" s="10"/>
      <c r="J24" s="10"/>
    </row>
    <row r="25" spans="1:10" ht="17.25">
      <c r="A25" s="31" t="s">
        <v>556</v>
      </c>
      <c r="B25" s="3" t="s">
        <v>542</v>
      </c>
      <c r="C25" s="8"/>
      <c r="D25" s="9"/>
      <c r="E25" s="10"/>
      <c r="F25" s="9"/>
      <c r="G25" s="10"/>
      <c r="H25" s="10"/>
      <c r="I25" s="10"/>
      <c r="J25" s="10"/>
    </row>
    <row r="26" spans="1:10" ht="31.5">
      <c r="A26" s="183">
        <v>4</v>
      </c>
      <c r="B26" s="3" t="s">
        <v>557</v>
      </c>
      <c r="C26" s="45"/>
      <c r="D26" s="45"/>
      <c r="E26" s="45"/>
      <c r="F26" s="45"/>
      <c r="G26" s="45"/>
      <c r="H26" s="45"/>
      <c r="I26" s="45"/>
      <c r="J26" s="45"/>
    </row>
    <row r="27" spans="1:10" ht="15.75">
      <c r="A27" s="31" t="s">
        <v>499</v>
      </c>
      <c r="B27" s="3" t="s">
        <v>13</v>
      </c>
      <c r="C27" s="8"/>
      <c r="D27" s="9"/>
      <c r="E27" s="10"/>
      <c r="F27" s="9"/>
      <c r="G27" s="10"/>
      <c r="H27" s="10"/>
      <c r="I27" s="10"/>
      <c r="J27" s="10"/>
    </row>
    <row r="28" spans="1:10" ht="15" customHeight="1">
      <c r="A28" s="3" t="s">
        <v>14</v>
      </c>
      <c r="B28" s="3"/>
      <c r="C28" s="8">
        <f>E28+G28+H28+I28+J28</f>
        <v>6208.25</v>
      </c>
      <c r="D28" s="9">
        <v>1</v>
      </c>
      <c r="E28" s="8">
        <f>SUM(E7:E27)</f>
        <v>1241.65</v>
      </c>
      <c r="F28" s="9">
        <v>1</v>
      </c>
      <c r="G28" s="8">
        <f>SUM(G7:G27)</f>
        <v>1241.65</v>
      </c>
      <c r="H28" s="8">
        <f>SUM(H7:H27)</f>
        <v>1241.65</v>
      </c>
      <c r="I28" s="8">
        <f>SUM(I7:I27)</f>
        <v>1241.65</v>
      </c>
      <c r="J28" s="8">
        <f>SUM(J7:J27)</f>
        <v>1241.65</v>
      </c>
    </row>
  </sheetData>
  <sheetProtection selectLockedCells="1" selectUnlockedCells="1"/>
  <mergeCells count="14">
    <mergeCell ref="A1:J1"/>
    <mergeCell ref="A2:A5"/>
    <mergeCell ref="B2:B5"/>
    <mergeCell ref="C2:D3"/>
    <mergeCell ref="E2:J2"/>
    <mergeCell ref="E3:F3"/>
    <mergeCell ref="C4:C5"/>
    <mergeCell ref="D4:D5"/>
    <mergeCell ref="E4:F4"/>
    <mergeCell ref="G4:G5"/>
    <mergeCell ref="H4:H5"/>
    <mergeCell ref="I4:I5"/>
    <mergeCell ref="J4:J5"/>
    <mergeCell ref="A28:B28"/>
  </mergeCells>
  <printOptions/>
  <pageMargins left="1.3402777777777777" right="0.39375" top="0.5597222222222222" bottom="0.4597222222222222" header="0.5118055555555555" footer="0.511805555555555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43"/>
    <pageSetUpPr fitToPage="1"/>
  </sheetPr>
  <dimension ref="A1:L14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7.28125" style="14" customWidth="1"/>
    <col min="2" max="2" width="8.57421875" style="14" customWidth="1"/>
    <col min="3" max="3" width="19.8515625" style="14" customWidth="1"/>
    <col min="4" max="4" width="14.140625" style="14" customWidth="1"/>
    <col min="5" max="5" width="9.140625" style="14" customWidth="1"/>
    <col min="6" max="6" width="13.00390625" style="14" customWidth="1"/>
    <col min="7" max="7" width="10.28125" style="14" customWidth="1"/>
    <col min="8" max="8" width="17.28125" style="14" customWidth="1"/>
    <col min="9" max="12" width="15.00390625" style="14" customWidth="1"/>
    <col min="13" max="16384" width="9.140625" style="14" customWidth="1"/>
  </cols>
  <sheetData>
    <row r="1" spans="1:12" ht="21" customHeight="1">
      <c r="A1" s="2" t="s">
        <v>558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2" customFormat="1" ht="15.75" customHeight="1">
      <c r="A2" s="3" t="s">
        <v>1</v>
      </c>
      <c r="B2" s="3" t="s">
        <v>24</v>
      </c>
      <c r="C2" s="3"/>
      <c r="D2" s="5" t="s">
        <v>3</v>
      </c>
      <c r="E2" s="5"/>
      <c r="F2" s="3" t="s">
        <v>4</v>
      </c>
      <c r="G2" s="3"/>
      <c r="H2" s="3"/>
      <c r="I2" s="3"/>
      <c r="J2" s="3"/>
      <c r="K2" s="3"/>
      <c r="L2" s="3"/>
    </row>
    <row r="3" spans="1:12" s="141" customFormat="1" ht="31.5" customHeight="1">
      <c r="A3" s="3"/>
      <c r="B3" s="3"/>
      <c r="C3" s="3"/>
      <c r="D3" s="5"/>
      <c r="E3" s="5"/>
      <c r="F3" s="30">
        <v>2016</v>
      </c>
      <c r="G3" s="30"/>
      <c r="H3" s="30"/>
      <c r="I3" s="30">
        <v>2017</v>
      </c>
      <c r="J3" s="30">
        <v>2018</v>
      </c>
      <c r="K3" s="30">
        <v>2019</v>
      </c>
      <c r="L3" s="30">
        <v>2020</v>
      </c>
    </row>
    <row r="4" spans="1:12" s="141" customFormat="1" ht="32.25" customHeight="1">
      <c r="A4" s="3"/>
      <c r="B4" s="3"/>
      <c r="C4" s="3"/>
      <c r="D4" s="3" t="s">
        <v>31</v>
      </c>
      <c r="E4" s="3" t="s">
        <v>6</v>
      </c>
      <c r="F4" s="3" t="s">
        <v>32</v>
      </c>
      <c r="G4" s="3"/>
      <c r="H4" s="3" t="s">
        <v>559</v>
      </c>
      <c r="I4" s="3" t="s">
        <v>31</v>
      </c>
      <c r="J4" s="3" t="s">
        <v>31</v>
      </c>
      <c r="K4" s="3" t="s">
        <v>31</v>
      </c>
      <c r="L4" s="3" t="s">
        <v>31</v>
      </c>
    </row>
    <row r="5" spans="1:12" s="12" customFormat="1" ht="15" customHeight="1">
      <c r="A5" s="3"/>
      <c r="B5" s="3"/>
      <c r="C5" s="3"/>
      <c r="D5" s="3"/>
      <c r="E5" s="3"/>
      <c r="F5" s="3" t="s">
        <v>31</v>
      </c>
      <c r="G5" s="3" t="s">
        <v>6</v>
      </c>
      <c r="H5" s="3"/>
      <c r="I5" s="3"/>
      <c r="J5" s="3"/>
      <c r="K5" s="3"/>
      <c r="L5" s="3"/>
    </row>
    <row r="6" spans="1:12" s="12" customFormat="1" ht="14.25" customHeight="1">
      <c r="A6" s="3">
        <v>1</v>
      </c>
      <c r="B6" s="3">
        <v>2</v>
      </c>
      <c r="C6" s="3"/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</row>
    <row r="7" spans="1:12" ht="29.25" customHeight="1">
      <c r="A7" s="31" t="s">
        <v>37</v>
      </c>
      <c r="B7" s="3" t="s">
        <v>560</v>
      </c>
      <c r="C7" s="3"/>
      <c r="D7" s="8"/>
      <c r="E7" s="9"/>
      <c r="F7" s="8">
        <f>SUM(F8:F11)</f>
        <v>1930.35</v>
      </c>
      <c r="G7" s="9"/>
      <c r="H7" s="32"/>
      <c r="I7" s="8">
        <f>SUM(I8:I11)</f>
        <v>1930.35</v>
      </c>
      <c r="J7" s="8">
        <f>SUM(J8:J11)</f>
        <v>1930.35</v>
      </c>
      <c r="K7" s="8">
        <f>SUM(K8:K11)</f>
        <v>1930.35</v>
      </c>
      <c r="L7" s="8">
        <f>SUM(L8:L11)</f>
        <v>1930.35</v>
      </c>
    </row>
    <row r="8" spans="1:12" ht="45.75" customHeight="1">
      <c r="A8" s="31" t="s">
        <v>39</v>
      </c>
      <c r="B8" s="3" t="s">
        <v>561</v>
      </c>
      <c r="C8" s="3"/>
      <c r="D8" s="8"/>
      <c r="E8" s="9"/>
      <c r="F8" s="10"/>
      <c r="G8" s="9"/>
      <c r="H8" s="32"/>
      <c r="I8" s="10"/>
      <c r="J8" s="10"/>
      <c r="K8" s="10"/>
      <c r="L8" s="10"/>
    </row>
    <row r="9" spans="1:12" ht="31.5" customHeight="1">
      <c r="A9" s="31" t="s">
        <v>51</v>
      </c>
      <c r="B9" s="3" t="s">
        <v>562</v>
      </c>
      <c r="C9" s="3"/>
      <c r="D9" s="8"/>
      <c r="E9" s="9"/>
      <c r="F9" s="10"/>
      <c r="G9" s="9"/>
      <c r="H9" s="32"/>
      <c r="I9" s="10"/>
      <c r="J9" s="10"/>
      <c r="K9" s="10"/>
      <c r="L9" s="10"/>
    </row>
    <row r="10" spans="1:12" ht="59.25" customHeight="1">
      <c r="A10" s="31" t="s">
        <v>59</v>
      </c>
      <c r="B10" s="3" t="s">
        <v>563</v>
      </c>
      <c r="C10" s="3"/>
      <c r="D10" s="8">
        <f>F10+I10+J10+K10+L10</f>
        <v>9651.75</v>
      </c>
      <c r="E10" s="9">
        <v>1</v>
      </c>
      <c r="F10" s="10">
        <f>587.55+600.21+742.59</f>
        <v>1930.35</v>
      </c>
      <c r="G10" s="9">
        <f>F10/F14</f>
        <v>0.953108644559872</v>
      </c>
      <c r="H10" s="32"/>
      <c r="I10" s="10">
        <f>587.55+600.21+742.59</f>
        <v>1930.35</v>
      </c>
      <c r="J10" s="10">
        <f>587.55+600.21+742.59</f>
        <v>1930.35</v>
      </c>
      <c r="K10" s="10">
        <f>587.55+600.21+742.59</f>
        <v>1930.35</v>
      </c>
      <c r="L10" s="10">
        <f>587.55+600.21+742.59</f>
        <v>1930.35</v>
      </c>
    </row>
    <row r="11" spans="1:12" ht="31.5" customHeight="1">
      <c r="A11" s="31" t="s">
        <v>64</v>
      </c>
      <c r="B11" s="3" t="s">
        <v>564</v>
      </c>
      <c r="C11" s="3"/>
      <c r="D11" s="8"/>
      <c r="E11" s="9"/>
      <c r="F11" s="10"/>
      <c r="G11" s="9"/>
      <c r="H11" s="32"/>
      <c r="I11" s="10"/>
      <c r="J11" s="10"/>
      <c r="K11" s="10"/>
      <c r="L11" s="10"/>
    </row>
    <row r="12" spans="1:12" ht="31.5" customHeight="1">
      <c r="A12" s="31" t="s">
        <v>74</v>
      </c>
      <c r="B12" s="3" t="s">
        <v>565</v>
      </c>
      <c r="C12" s="3"/>
      <c r="D12" s="8"/>
      <c r="E12" s="9"/>
      <c r="F12" s="10"/>
      <c r="G12" s="9"/>
      <c r="H12" s="32"/>
      <c r="I12" s="10"/>
      <c r="J12" s="10"/>
      <c r="K12" s="10"/>
      <c r="L12" s="10"/>
    </row>
    <row r="13" spans="1:12" ht="15" customHeight="1">
      <c r="A13" s="31" t="s">
        <v>99</v>
      </c>
      <c r="B13" s="3" t="s">
        <v>13</v>
      </c>
      <c r="C13" s="3"/>
      <c r="D13" s="8">
        <f aca="true" t="shared" si="0" ref="D13:D14">F13+I13+J13+K13+L13</f>
        <v>474.85</v>
      </c>
      <c r="E13" s="9"/>
      <c r="F13" s="10">
        <f>43.68+33.6+17.69</f>
        <v>94.97</v>
      </c>
      <c r="G13" s="9">
        <f>F13/F14</f>
        <v>0.04689135544012798</v>
      </c>
      <c r="H13" s="32"/>
      <c r="I13" s="10">
        <f>43.68+33.6+17.69</f>
        <v>94.97</v>
      </c>
      <c r="J13" s="10">
        <f>43.68+33.6+17.69</f>
        <v>94.97</v>
      </c>
      <c r="K13" s="10">
        <f>43.68+33.6+17.69</f>
        <v>94.97</v>
      </c>
      <c r="L13" s="10">
        <f>43.68+33.6+17.69</f>
        <v>94.97</v>
      </c>
    </row>
    <row r="14" spans="1:12" ht="15" customHeight="1">
      <c r="A14" s="3" t="s">
        <v>14</v>
      </c>
      <c r="B14" s="3"/>
      <c r="C14" s="3"/>
      <c r="D14" s="8">
        <f t="shared" si="0"/>
        <v>10126.6</v>
      </c>
      <c r="E14" s="9">
        <v>1</v>
      </c>
      <c r="F14" s="10">
        <f>F7+F12+F13</f>
        <v>2025.32</v>
      </c>
      <c r="G14" s="9">
        <f>SUM(G10:G13)</f>
        <v>1</v>
      </c>
      <c r="H14" s="32"/>
      <c r="I14" s="10">
        <f>I7+I12+I13</f>
        <v>2025.32</v>
      </c>
      <c r="J14" s="10">
        <f>J7+J12+J13</f>
        <v>2025.32</v>
      </c>
      <c r="K14" s="10">
        <f>K7+K12+K13</f>
        <v>2025.32</v>
      </c>
      <c r="L14" s="10">
        <f>L7+L12+L13</f>
        <v>2025.32</v>
      </c>
    </row>
  </sheetData>
  <sheetProtection selectLockedCells="1" selectUnlockedCells="1"/>
  <mergeCells count="23">
    <mergeCell ref="A1:L1"/>
    <mergeCell ref="A2:A5"/>
    <mergeCell ref="B2:C5"/>
    <mergeCell ref="D2:E3"/>
    <mergeCell ref="F2:L2"/>
    <mergeCell ref="F3:H3"/>
    <mergeCell ref="D4:D5"/>
    <mergeCell ref="E4:E5"/>
    <mergeCell ref="F4:G4"/>
    <mergeCell ref="H4:H5"/>
    <mergeCell ref="I4:I5"/>
    <mergeCell ref="J4:J5"/>
    <mergeCell ref="K4:K5"/>
    <mergeCell ref="L4:L5"/>
    <mergeCell ref="B6:C6"/>
    <mergeCell ref="B7:C7"/>
    <mergeCell ref="B8:C8"/>
    <mergeCell ref="B9:C9"/>
    <mergeCell ref="B10:C10"/>
    <mergeCell ref="B11:C11"/>
    <mergeCell ref="B12:C12"/>
    <mergeCell ref="B13:C13"/>
    <mergeCell ref="A14:C14"/>
  </mergeCells>
  <printOptions/>
  <pageMargins left="0.7097222222222223" right="0.2798611111111111" top="0.6902777777777778" bottom="0.98402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3"/>
  </sheetPr>
  <dimension ref="A1:M32"/>
  <sheetViews>
    <sheetView zoomScale="75" zoomScaleNormal="75" workbookViewId="0" topLeftCell="A19">
      <selection activeCell="I25" sqref="I25"/>
    </sheetView>
  </sheetViews>
  <sheetFormatPr defaultColWidth="9.140625" defaultRowHeight="12.75"/>
  <cols>
    <col min="1" max="1" width="5.8515625" style="146" customWidth="1"/>
    <col min="2" max="2" width="38.140625" style="21" customWidth="1"/>
    <col min="3" max="3" width="12.140625" style="21" customWidth="1"/>
    <col min="4" max="4" width="21.57421875" style="21" customWidth="1"/>
    <col min="5" max="5" width="22.00390625" style="21" customWidth="1"/>
    <col min="6" max="6" width="23.140625" style="21" customWidth="1"/>
    <col min="7" max="7" width="25.28125" style="21" customWidth="1"/>
    <col min="8" max="8" width="22.00390625" style="21" customWidth="1"/>
    <col min="9" max="9" width="11.00390625" style="21" customWidth="1"/>
    <col min="10" max="16384" width="9.140625" style="21" customWidth="1"/>
  </cols>
  <sheetData>
    <row r="1" spans="1:9" ht="20.25" customHeight="1">
      <c r="A1" s="149" t="s">
        <v>566</v>
      </c>
      <c r="B1" s="149"/>
      <c r="C1" s="149"/>
      <c r="D1" s="149"/>
      <c r="E1" s="149"/>
      <c r="F1" s="149"/>
      <c r="G1" s="149"/>
      <c r="H1" s="149"/>
      <c r="I1" s="149"/>
    </row>
    <row r="2" spans="1:9" ht="111" customHeight="1">
      <c r="A2" s="150" t="s">
        <v>1</v>
      </c>
      <c r="B2" s="151" t="s">
        <v>488</v>
      </c>
      <c r="C2" s="151" t="s">
        <v>489</v>
      </c>
      <c r="D2" s="151" t="s">
        <v>567</v>
      </c>
      <c r="E2" s="151" t="s">
        <v>568</v>
      </c>
      <c r="F2" s="151" t="s">
        <v>569</v>
      </c>
      <c r="G2" s="151" t="s">
        <v>570</v>
      </c>
      <c r="H2" s="151" t="s">
        <v>571</v>
      </c>
      <c r="I2" s="151" t="s">
        <v>83</v>
      </c>
    </row>
    <row r="3" spans="1:9" ht="13.5" customHeight="1">
      <c r="A3" s="152">
        <v>1</v>
      </c>
      <c r="B3" s="151">
        <v>2</v>
      </c>
      <c r="C3" s="151">
        <v>3</v>
      </c>
      <c r="D3" s="153">
        <v>4</v>
      </c>
      <c r="E3" s="153">
        <v>5</v>
      </c>
      <c r="F3" s="151">
        <v>6</v>
      </c>
      <c r="G3" s="151">
        <v>7</v>
      </c>
      <c r="H3" s="151">
        <v>8</v>
      </c>
      <c r="I3" s="153">
        <v>9</v>
      </c>
    </row>
    <row r="4" spans="1:9" ht="45.75">
      <c r="A4" s="152">
        <v>1</v>
      </c>
      <c r="B4" s="184" t="s">
        <v>572</v>
      </c>
      <c r="C4" s="185"/>
      <c r="D4" s="185"/>
      <c r="E4" s="185"/>
      <c r="F4" s="185"/>
      <c r="G4" s="185"/>
      <c r="H4" s="185"/>
      <c r="I4" s="186"/>
    </row>
    <row r="5" spans="1:9" ht="45.75">
      <c r="A5" s="187" t="s">
        <v>39</v>
      </c>
      <c r="B5" s="161" t="s">
        <v>573</v>
      </c>
      <c r="C5" s="188">
        <v>2016</v>
      </c>
      <c r="D5" s="161"/>
      <c r="E5" s="161"/>
      <c r="F5" s="189">
        <f>587.55</f>
        <v>587.55</v>
      </c>
      <c r="G5" s="189"/>
      <c r="H5" s="190"/>
      <c r="I5" s="186"/>
    </row>
    <row r="6" spans="1:9" ht="45.75">
      <c r="A6" s="187" t="s">
        <v>51</v>
      </c>
      <c r="B6" s="161" t="s">
        <v>574</v>
      </c>
      <c r="C6" s="188">
        <v>2016</v>
      </c>
      <c r="D6" s="161"/>
      <c r="E6" s="161"/>
      <c r="F6" s="189">
        <f>600.21</f>
        <v>600.21</v>
      </c>
      <c r="G6" s="189"/>
      <c r="H6" s="190"/>
      <c r="I6" s="186"/>
    </row>
    <row r="7" spans="1:9" ht="45.75">
      <c r="A7" s="187" t="s">
        <v>59</v>
      </c>
      <c r="B7" s="161" t="s">
        <v>575</v>
      </c>
      <c r="C7" s="188">
        <v>2017</v>
      </c>
      <c r="D7" s="161"/>
      <c r="E7" s="161"/>
      <c r="F7" s="191"/>
      <c r="G7" s="192">
        <f aca="true" t="shared" si="0" ref="G7:G14">E7</f>
        <v>0</v>
      </c>
      <c r="H7" s="190"/>
      <c r="I7" s="186"/>
    </row>
    <row r="8" spans="1:9" ht="45.75">
      <c r="A8" s="187" t="s">
        <v>64</v>
      </c>
      <c r="B8" s="161" t="s">
        <v>576</v>
      </c>
      <c r="C8" s="188">
        <v>2017</v>
      </c>
      <c r="D8" s="161"/>
      <c r="E8" s="161"/>
      <c r="F8" s="191"/>
      <c r="G8" s="192">
        <f t="shared" si="0"/>
        <v>0</v>
      </c>
      <c r="H8" s="190"/>
      <c r="I8" s="186"/>
    </row>
    <row r="9" spans="1:9" ht="59.25">
      <c r="A9" s="187" t="s">
        <v>69</v>
      </c>
      <c r="B9" s="161" t="s">
        <v>577</v>
      </c>
      <c r="C9" s="188">
        <v>2018</v>
      </c>
      <c r="D9" s="161"/>
      <c r="E9" s="161"/>
      <c r="F9" s="191"/>
      <c r="G9" s="192">
        <f t="shared" si="0"/>
        <v>0</v>
      </c>
      <c r="H9" s="190"/>
      <c r="I9" s="186"/>
    </row>
    <row r="10" spans="1:9" ht="45.75">
      <c r="A10" s="187" t="s">
        <v>578</v>
      </c>
      <c r="B10" s="161" t="s">
        <v>579</v>
      </c>
      <c r="C10" s="188">
        <v>2018</v>
      </c>
      <c r="D10" s="161"/>
      <c r="E10" s="161"/>
      <c r="F10" s="191"/>
      <c r="G10" s="192">
        <f t="shared" si="0"/>
        <v>0</v>
      </c>
      <c r="H10" s="190"/>
      <c r="I10" s="186"/>
    </row>
    <row r="11" spans="1:9" ht="45.75">
      <c r="A11" s="187" t="s">
        <v>580</v>
      </c>
      <c r="B11" s="161" t="s">
        <v>581</v>
      </c>
      <c r="C11" s="188">
        <v>2019</v>
      </c>
      <c r="D11" s="161"/>
      <c r="E11" s="161"/>
      <c r="F11" s="191"/>
      <c r="G11" s="192">
        <f t="shared" si="0"/>
        <v>0</v>
      </c>
      <c r="H11" s="190"/>
      <c r="I11" s="186"/>
    </row>
    <row r="12" spans="1:9" ht="45.75">
      <c r="A12" s="187" t="s">
        <v>582</v>
      </c>
      <c r="B12" s="161" t="s">
        <v>583</v>
      </c>
      <c r="C12" s="188">
        <v>2019</v>
      </c>
      <c r="D12" s="161"/>
      <c r="E12" s="161"/>
      <c r="F12" s="191"/>
      <c r="G12" s="192">
        <f t="shared" si="0"/>
        <v>0</v>
      </c>
      <c r="H12" s="190"/>
      <c r="I12" s="186"/>
    </row>
    <row r="13" spans="1:9" ht="45.75">
      <c r="A13" s="187" t="s">
        <v>584</v>
      </c>
      <c r="B13" s="193" t="s">
        <v>585</v>
      </c>
      <c r="C13" s="188">
        <v>2020</v>
      </c>
      <c r="D13" s="161"/>
      <c r="E13" s="161"/>
      <c r="F13" s="191"/>
      <c r="G13" s="192">
        <f t="shared" si="0"/>
        <v>0</v>
      </c>
      <c r="H13" s="190"/>
      <c r="I13" s="186"/>
    </row>
    <row r="14" spans="1:9" ht="45.75">
      <c r="A14" s="187" t="s">
        <v>586</v>
      </c>
      <c r="B14" s="193" t="s">
        <v>587</v>
      </c>
      <c r="C14" s="188">
        <v>2020</v>
      </c>
      <c r="D14" s="161"/>
      <c r="E14" s="161"/>
      <c r="F14" s="191"/>
      <c r="G14" s="192">
        <f t="shared" si="0"/>
        <v>0</v>
      </c>
      <c r="H14" s="190"/>
      <c r="I14" s="186"/>
    </row>
    <row r="15" spans="1:9" ht="15.75">
      <c r="A15" s="194"/>
      <c r="B15" s="184"/>
      <c r="C15" s="186"/>
      <c r="D15" s="184"/>
      <c r="E15" s="184"/>
      <c r="F15" s="184"/>
      <c r="G15" s="184"/>
      <c r="H15" s="184"/>
      <c r="I15" s="186"/>
    </row>
    <row r="16" spans="1:9" ht="45.75">
      <c r="A16" s="152">
        <v>2</v>
      </c>
      <c r="B16" s="184" t="s">
        <v>588</v>
      </c>
      <c r="C16" s="185"/>
      <c r="D16" s="185"/>
      <c r="E16" s="185"/>
      <c r="F16" s="185"/>
      <c r="G16" s="185"/>
      <c r="H16" s="185"/>
      <c r="I16" s="186"/>
    </row>
    <row r="17" spans="1:9" ht="15.75">
      <c r="A17" s="194"/>
      <c r="B17" s="184"/>
      <c r="C17" s="186"/>
      <c r="D17" s="184"/>
      <c r="E17" s="184"/>
      <c r="F17" s="184"/>
      <c r="G17" s="184"/>
      <c r="H17" s="184"/>
      <c r="I17" s="186"/>
    </row>
    <row r="18" spans="1:9" ht="59.25">
      <c r="A18" s="152">
        <v>3</v>
      </c>
      <c r="B18" s="184" t="s">
        <v>589</v>
      </c>
      <c r="C18" s="195"/>
      <c r="D18" s="195"/>
      <c r="E18" s="195"/>
      <c r="F18" s="195"/>
      <c r="G18" s="195"/>
      <c r="H18" s="195"/>
      <c r="I18" s="196"/>
    </row>
    <row r="19" spans="1:9" s="70" customFormat="1" ht="45.75">
      <c r="A19" s="187" t="s">
        <v>101</v>
      </c>
      <c r="B19" s="197" t="s">
        <v>590</v>
      </c>
      <c r="C19" s="188">
        <v>2016</v>
      </c>
      <c r="D19" s="161"/>
      <c r="E19" s="161"/>
      <c r="F19" s="198"/>
      <c r="G19" s="189"/>
      <c r="H19" s="190"/>
      <c r="I19" s="199"/>
    </row>
    <row r="20" spans="1:9" s="70" customFormat="1" ht="45.75">
      <c r="A20" s="187" t="s">
        <v>103</v>
      </c>
      <c r="B20" s="197" t="s">
        <v>590</v>
      </c>
      <c r="C20" s="188">
        <v>2017</v>
      </c>
      <c r="D20" s="161"/>
      <c r="E20" s="161"/>
      <c r="F20" s="114"/>
      <c r="G20" s="198">
        <f aca="true" t="shared" si="1" ref="G20:G23">500</f>
        <v>500</v>
      </c>
      <c r="H20" s="190"/>
      <c r="I20" s="199"/>
    </row>
    <row r="21" spans="1:9" s="70" customFormat="1" ht="45.75">
      <c r="A21" s="187" t="s">
        <v>546</v>
      </c>
      <c r="B21" s="197" t="s">
        <v>590</v>
      </c>
      <c r="C21" s="188">
        <v>2018</v>
      </c>
      <c r="D21" s="161"/>
      <c r="E21" s="161"/>
      <c r="F21" s="114"/>
      <c r="G21" s="198">
        <f t="shared" si="1"/>
        <v>500</v>
      </c>
      <c r="H21" s="190"/>
      <c r="I21" s="199"/>
    </row>
    <row r="22" spans="1:9" s="70" customFormat="1" ht="45.75">
      <c r="A22" s="187" t="s">
        <v>548</v>
      </c>
      <c r="B22" s="197" t="s">
        <v>590</v>
      </c>
      <c r="C22" s="188">
        <v>2019</v>
      </c>
      <c r="D22" s="161"/>
      <c r="E22" s="161"/>
      <c r="F22" s="114"/>
      <c r="G22" s="198">
        <f t="shared" si="1"/>
        <v>500</v>
      </c>
      <c r="H22" s="190"/>
      <c r="I22" s="199"/>
    </row>
    <row r="23" spans="1:9" s="70" customFormat="1" ht="45.75">
      <c r="A23" s="187" t="s">
        <v>550</v>
      </c>
      <c r="B23" s="197" t="s">
        <v>590</v>
      </c>
      <c r="C23" s="188">
        <v>2020</v>
      </c>
      <c r="D23" s="161"/>
      <c r="E23" s="161"/>
      <c r="F23" s="114"/>
      <c r="G23" s="198">
        <f t="shared" si="1"/>
        <v>500</v>
      </c>
      <c r="H23" s="190"/>
      <c r="I23" s="199"/>
    </row>
    <row r="24" spans="1:9" ht="15.75">
      <c r="A24" s="194"/>
      <c r="B24" s="200"/>
      <c r="C24" s="186"/>
      <c r="D24" s="184"/>
      <c r="E24" s="184"/>
      <c r="F24" s="184"/>
      <c r="G24" s="184"/>
      <c r="H24" s="184"/>
      <c r="I24" s="196"/>
    </row>
    <row r="25" spans="1:9" ht="45.75">
      <c r="A25" s="152">
        <v>4</v>
      </c>
      <c r="B25" s="184" t="s">
        <v>591</v>
      </c>
      <c r="C25" s="201"/>
      <c r="D25" s="201"/>
      <c r="E25" s="201"/>
      <c r="F25" s="201"/>
      <c r="G25" s="201"/>
      <c r="H25" s="201"/>
      <c r="I25" s="196"/>
    </row>
    <row r="26" spans="1:9" ht="15.75">
      <c r="A26" s="194"/>
      <c r="B26" s="200"/>
      <c r="C26" s="186"/>
      <c r="D26" s="184"/>
      <c r="E26" s="200"/>
      <c r="F26" s="200"/>
      <c r="G26" s="200"/>
      <c r="H26" s="200"/>
      <c r="I26" s="186"/>
    </row>
    <row r="27" spans="1:9" ht="15.75">
      <c r="A27" s="202" t="s">
        <v>14</v>
      </c>
      <c r="B27" s="202"/>
      <c r="C27" s="186"/>
      <c r="D27" s="184"/>
      <c r="E27" s="200"/>
      <c r="F27" s="202">
        <f>SUM(F4:F25)</f>
        <v>1187.76</v>
      </c>
      <c r="G27" s="202">
        <f>SUM(G4:G25)</f>
        <v>2000</v>
      </c>
      <c r="H27" s="200"/>
      <c r="I27" s="186"/>
    </row>
    <row r="28" spans="1:4" ht="15">
      <c r="A28" s="203"/>
      <c r="B28" s="204"/>
      <c r="C28" s="204"/>
      <c r="D28" s="204"/>
    </row>
    <row r="29" spans="1:13" s="19" customFormat="1" ht="15.75">
      <c r="A29" s="15" t="s">
        <v>15</v>
      </c>
      <c r="B29" s="15"/>
      <c r="C29" s="16"/>
      <c r="D29" s="16"/>
      <c r="E29" s="17" t="s">
        <v>16</v>
      </c>
      <c r="F29" s="17"/>
      <c r="G29" s="205" t="s">
        <v>592</v>
      </c>
      <c r="H29" s="16"/>
      <c r="I29" s="17"/>
      <c r="J29" s="17"/>
      <c r="K29" s="16"/>
      <c r="L29" s="16"/>
      <c r="M29" s="16"/>
    </row>
    <row r="30" spans="1:13" s="23" customFormat="1" ht="15" customHeight="1">
      <c r="A30" s="20" t="s">
        <v>18</v>
      </c>
      <c r="B30" s="20"/>
      <c r="C30" s="21"/>
      <c r="D30" s="21"/>
      <c r="E30" s="17" t="s">
        <v>19</v>
      </c>
      <c r="F30" s="17"/>
      <c r="G30" s="181" t="s">
        <v>530</v>
      </c>
      <c r="H30" s="181"/>
      <c r="I30" s="17"/>
      <c r="J30" s="17"/>
      <c r="K30" s="21"/>
      <c r="L30" s="21"/>
      <c r="M30" s="21"/>
    </row>
    <row r="31" spans="1:13" s="19" customFormat="1" ht="12.75">
      <c r="A31" s="24"/>
      <c r="B31" s="2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s="19" customFormat="1" ht="12.75">
      <c r="A32" s="25" t="s">
        <v>21</v>
      </c>
      <c r="B32" s="25"/>
      <c r="C32" s="25"/>
      <c r="D32" s="25"/>
      <c r="E32" s="26" t="s">
        <v>22</v>
      </c>
      <c r="F32" s="27"/>
      <c r="G32" s="16"/>
      <c r="H32" s="16"/>
      <c r="I32" s="16"/>
      <c r="J32" s="16"/>
      <c r="K32" s="16"/>
      <c r="L32" s="16"/>
      <c r="M32" s="16"/>
    </row>
  </sheetData>
  <sheetProtection selectLockedCells="1" selectUnlockedCells="1"/>
  <mergeCells count="4">
    <mergeCell ref="A1:I1"/>
    <mergeCell ref="A27:B27"/>
    <mergeCell ref="G30:H30"/>
    <mergeCell ref="A32:D32"/>
  </mergeCells>
  <printOptions/>
  <pageMargins left="0.6298611111111111" right="0.32013888888888886" top="0.49027777777777776" bottom="0.3798611111111111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KULINICH</dc:creator>
  <cp:keywords/>
  <dc:description/>
  <cp:lastModifiedBy/>
  <cp:lastPrinted>2016-03-09T12:14:50Z</cp:lastPrinted>
  <dcterms:created xsi:type="dcterms:W3CDTF">2003-02-20T10:09:41Z</dcterms:created>
  <dcterms:modified xsi:type="dcterms:W3CDTF">2016-03-10T06:51:18Z</dcterms:modified>
  <cp:category/>
  <cp:version/>
  <cp:contentType/>
  <cp:contentStatus/>
  <cp:revision>191</cp:revision>
</cp:coreProperties>
</file>