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1"/>
  </bookViews>
  <sheets>
    <sheet name="5.Загальний опис робіт" sheetId="1" r:id="rId1"/>
    <sheet name="5.І Електричні мережі" sheetId="2" r:id="rId2"/>
    <sheet name="5.І.І Обсяги робіт" sheetId="3" r:id="rId3"/>
    <sheet name="5.ІІ Зниження понаднорматива" sheetId="4" r:id="rId4"/>
    <sheet name="5.ІІІ Впровадження АСДТК" sheetId="5" r:id="rId5"/>
    <sheet name="5.ІІІ.І. Етапи впровадження АСД" sheetId="6" r:id="rId6"/>
    <sheet name="5.ІV Інформаційні технології" sheetId="7" r:id="rId7"/>
    <sheet name="5.V Системи зв’язку та телекому" sheetId="8" r:id="rId8"/>
    <sheet name="5.V.I Етапи впровадження систем" sheetId="9" r:id="rId9"/>
    <sheet name="5.VI Транспорт" sheetId="10" r:id="rId10"/>
    <sheet name="5.VII Інше" sheetId="11" r:id="rId11"/>
    <sheet name="6.Проведення закупівель" sheetId="12" r:id="rId12"/>
  </sheets>
  <definedNames>
    <definedName name="_xlnm.Print_Titles" localSheetId="8">'5.V.I Етапи впровадження систем'!$2:$3</definedName>
    <definedName name="_xlnm.Print_Titles" localSheetId="2">'5.І.І Обсяги робіт'!$2:$3</definedName>
    <definedName name="_xlnm.Print_Titles" localSheetId="11">'6.Проведення закупівель'!$2:$6</definedName>
    <definedName name="SHARED_FORMULA_10_41_10_41_31">NA()</definedName>
    <definedName name="SHARED_FORMULA_12_41_12_41_31">NA()</definedName>
    <definedName name="SHARED_FORMULA_32_46_32_46_6">NA()</definedName>
    <definedName name="SHARED_FORMULA_43_46_43_46_6">NA()</definedName>
    <definedName name="SHARED_FORMULA_6_63_6_63_31">NA()</definedName>
    <definedName name="SHARED_FORMULA_6_81_6_81_31">NA()</definedName>
    <definedName name="SHARED_FORMULA_6_98_6_98_31">NA()</definedName>
    <definedName name="SHARED_FORMULA_8_107_8_107_22">NA()</definedName>
    <definedName name="SHARED_FORMULA_8_112_8_112_31">NA()</definedName>
    <definedName name="SHARED_FORMULA_8_121_8_121_22">NA()</definedName>
    <definedName name="SHARED_FORMULA_8_144_8_144_22">NA()</definedName>
    <definedName name="SHARED_FORMULA_8_154_8_154_22">NA()</definedName>
    <definedName name="SHARED_FORMULA_8_161_8_161_22">NA()</definedName>
    <definedName name="SHARED_FORMULA_8_173_8_173_22">NA()</definedName>
    <definedName name="SHARED_FORMULA_8_194_8_194_22">NA()</definedName>
    <definedName name="SHARED_FORMULA_8_201_8_201_22">NA()</definedName>
    <definedName name="SHARED_FORMULA_8_31_8_31_22">NA()</definedName>
    <definedName name="SHARED_FORMULA_8_71_8_71_22">NA()</definedName>
    <definedName name="Excel_BuiltIn_Print_Titles" localSheetId="2">#REF!</definedName>
    <definedName name="Excel_BuiltIn_Print_Titles" localSheetId="8">#REF!</definedName>
    <definedName name="Excel_BuiltIn_Print_Titles" localSheetId="11">#REF!</definedName>
  </definedNames>
  <calcPr fullCalcOnLoad="1"/>
</workbook>
</file>

<file path=xl/sharedStrings.xml><?xml version="1.0" encoding="utf-8"?>
<sst xmlns="http://schemas.openxmlformats.org/spreadsheetml/2006/main" count="969" uniqueCount="560">
  <si>
    <t>5. Загальний опис робіт</t>
  </si>
  <si>
    <t>№ з/п</t>
  </si>
  <si>
    <t>Цільові програми</t>
  </si>
  <si>
    <t xml:space="preserve">Всього на (прогнозний період) - (прогнозний період+4) рр. </t>
  </si>
  <si>
    <t>у т.ч. по роках:</t>
  </si>
  <si>
    <t>(прогнозний період)</t>
  </si>
  <si>
    <t>(прогнозний період+1)</t>
  </si>
  <si>
    <t>(прогнозний період+2)</t>
  </si>
  <si>
    <t>(прогнозний період+3)</t>
  </si>
  <si>
    <t>(прогнозний період+4)</t>
  </si>
  <si>
    <t>тис.грн (без ПДВ)</t>
  </si>
  <si>
    <t>%</t>
  </si>
  <si>
    <t>І</t>
  </si>
  <si>
    <t>Будівництво, модернізація та реконструкція 
електричних мереж та обладнання</t>
  </si>
  <si>
    <t>ІІ</t>
  </si>
  <si>
    <t>Заходи по зниженню та/або недопущенню понаднормативних витрат електроенергії</t>
  </si>
  <si>
    <t>III</t>
  </si>
  <si>
    <t>Впровадження та розвиток АСДТК</t>
  </si>
  <si>
    <t>IV</t>
  </si>
  <si>
    <t>Впровадження та розвиток інформаційних технологій</t>
  </si>
  <si>
    <t>V</t>
  </si>
  <si>
    <t>Впровадження та розвиток систем зв'язку і телекомунікацій</t>
  </si>
  <si>
    <t>VI</t>
  </si>
  <si>
    <t>Модернізація та закупівля транспортних засобів</t>
  </si>
  <si>
    <t>VII</t>
  </si>
  <si>
    <t>Інше</t>
  </si>
  <si>
    <t>Всього</t>
  </si>
  <si>
    <t xml:space="preserve">Голова Правління </t>
  </si>
  <si>
    <t>_____________________________</t>
  </si>
  <si>
    <t>І.М. Сафронов</t>
  </si>
  <si>
    <t>(підпис)</t>
  </si>
  <si>
    <t>"____" ____________ ____ року</t>
  </si>
  <si>
    <t>М. П.</t>
  </si>
  <si>
    <t>5.І. Будівництво, модернізація та реконструкція електричних мереж та обладнання</t>
  </si>
  <si>
    <t>Складові цільової програми</t>
  </si>
  <si>
    <t>Детальне обґрунтування, розрахунок вартості та економічної ефективності</t>
  </si>
  <si>
    <t>Примітка</t>
  </si>
  <si>
    <t>тис.грн</t>
  </si>
  <si>
    <t>Всього на рік</t>
  </si>
  <si>
    <t xml:space="preserve">Економічний ефект </t>
  </si>
  <si>
    <t>зниження ТВЕ</t>
  </si>
  <si>
    <t>Окупність в роках</t>
  </si>
  <si>
    <t>млн. кВт*год</t>
  </si>
  <si>
    <t>Сторінка №</t>
  </si>
  <si>
    <t>І.1</t>
  </si>
  <si>
    <t>Будівництво, реконструкція та модернізація електричних мереж, у т.ч:</t>
  </si>
  <si>
    <t>І.1.1</t>
  </si>
  <si>
    <t>Будівництво нових ЛЕП (КЛ, ПЛ), всього
з них:</t>
  </si>
  <si>
    <t>І.1.1.1</t>
  </si>
  <si>
    <t>150 кВ</t>
  </si>
  <si>
    <t>І.1.1.2</t>
  </si>
  <si>
    <t>35 кВ</t>
  </si>
  <si>
    <t>І.1.1.3</t>
  </si>
  <si>
    <t>10-20 кВ</t>
  </si>
  <si>
    <t>І.1.1.4</t>
  </si>
  <si>
    <t>6 кВ</t>
  </si>
  <si>
    <t>І.1.1.5</t>
  </si>
  <si>
    <t>0,4 кВ</t>
  </si>
  <si>
    <t>І.1.1.5.1</t>
  </si>
  <si>
    <t>з магістральними ізольованими проводами</t>
  </si>
  <si>
    <t>І.1.2</t>
  </si>
  <si>
    <t>Реконструкція ЛЕП (КЛ, ПЛ), всього
з них:</t>
  </si>
  <si>
    <t>І.1.2.1</t>
  </si>
  <si>
    <t>І.1.2.2</t>
  </si>
  <si>
    <t>І.1.2.3</t>
  </si>
  <si>
    <t>10 кВ</t>
  </si>
  <si>
    <t>І.1.2.4</t>
  </si>
  <si>
    <t>І.1.2.5</t>
  </si>
  <si>
    <t>І.1.2.5.1</t>
  </si>
  <si>
    <t>І.1.3</t>
  </si>
  <si>
    <t>Будівництво нових ПС, РП та ТП, всього
з них:</t>
  </si>
  <si>
    <t>І.1.3.1</t>
  </si>
  <si>
    <t>І.1.3.2</t>
  </si>
  <si>
    <t>І.1.3.3</t>
  </si>
  <si>
    <t>І.1.4</t>
  </si>
  <si>
    <t>Реконструкція ПС, ТП та РП, всього
з них:</t>
  </si>
  <si>
    <t>І.1.4.1</t>
  </si>
  <si>
    <t>110-115</t>
  </si>
  <si>
    <t>І.1.4.2</t>
  </si>
  <si>
    <t>118-119</t>
  </si>
  <si>
    <t>І.1.4.3</t>
  </si>
  <si>
    <t>І.1.5</t>
  </si>
  <si>
    <t>Модернізація ПС, ТП, ПЛ та РП, всього
з них:</t>
  </si>
  <si>
    <t>І.1.5.1</t>
  </si>
  <si>
    <t>112-115</t>
  </si>
  <si>
    <t>І.1.5.2</t>
  </si>
  <si>
    <t>117-118</t>
  </si>
  <si>
    <t>І.1.5.3</t>
  </si>
  <si>
    <t>0,4-10 кВ</t>
  </si>
  <si>
    <t>І.2</t>
  </si>
  <si>
    <t>120-121</t>
  </si>
  <si>
    <t>5.І.І. Обсяги будівництва, реконструкції та модернізації об'єктів електричних мереж на прогнозний період</t>
  </si>
  <si>
    <t>Інвентарний номер енергооб'єкта</t>
  </si>
  <si>
    <t>Найменування енергооб'єкта, його місцезнаходження та потужність</t>
  </si>
  <si>
    <t>Вартість одиниці продукції
(тис.грн без ПДВ)</t>
  </si>
  <si>
    <t>Обсяги робіт та капіталовкладень
ПЛ, КЛ / ПС</t>
  </si>
  <si>
    <t>Наявність проектної документації (дата і номер документа про її затвердження)*</t>
  </si>
  <si>
    <t>Спосіб виконання робіт (підрядний/ господарський)</t>
  </si>
  <si>
    <t>Рік попередньої реконструкції</t>
  </si>
  <si>
    <t>Бухгалтерське найменування</t>
  </si>
  <si>
    <t>км / шт</t>
  </si>
  <si>
    <t>капіталовкладення,
тис. грн (без ПДВ)</t>
  </si>
  <si>
    <t>1.</t>
  </si>
  <si>
    <t>Реконструкція ПЛ-150 кВ всього</t>
  </si>
  <si>
    <t>1.1.</t>
  </si>
  <si>
    <t>Реконструкція ПЛ-150 кВ Ках. ГПП-Дудчино</t>
  </si>
  <si>
    <t>2.</t>
  </si>
  <si>
    <t>Реконструкція КЛ-35 кВ всього</t>
  </si>
  <si>
    <t>2.1.</t>
  </si>
  <si>
    <t>Реконструкція КЛ-35 кВ Кошевая - ОП Кошевая, 1,2</t>
  </si>
  <si>
    <t>3.</t>
  </si>
  <si>
    <t>Реконструкція ПЛ-0,4кВ ізольований провід, всього</t>
  </si>
  <si>
    <t>ХМЕМ</t>
  </si>
  <si>
    <t>3.1.</t>
  </si>
  <si>
    <t>ПЛ-0,4кВ Ф № 2 від ТП-261 (м.Херсон)</t>
  </si>
  <si>
    <t>3.2</t>
  </si>
  <si>
    <t>ПЛ-0,4кВ Ф № 4, 5,9,10 від ТП-343 (м.Херсон)</t>
  </si>
  <si>
    <t>3.3.</t>
  </si>
  <si>
    <t>ПЛ-0,4кВ Ф № 3, 4,7,8 від ТП-93 (м.Херсон)</t>
  </si>
  <si>
    <t>3.4.</t>
  </si>
  <si>
    <t>ПЛ-0,4кВ Ф № 3,4 від ТП-45 (м.Херсон)</t>
  </si>
  <si>
    <t>3.5</t>
  </si>
  <si>
    <t>ПЛ-0,4кВ від ТП 18 (м. Херсон)</t>
  </si>
  <si>
    <t>3.6</t>
  </si>
  <si>
    <t>ПЛ-0,4кВ від ТП 356 (м. Херсон)</t>
  </si>
  <si>
    <t>3.7</t>
  </si>
  <si>
    <t>ПЛ-0,4кВ від ТП 22 (м. Херсон)</t>
  </si>
  <si>
    <t>3.8</t>
  </si>
  <si>
    <t>ПЛ-0,4 кВ від ТП 33 (м. Херсон)</t>
  </si>
  <si>
    <t>3.9</t>
  </si>
  <si>
    <t>ПЛ-0,4 кВ від ТП 686 (м.Херсон)</t>
  </si>
  <si>
    <t>Каховський РЕЗ і ЕМ</t>
  </si>
  <si>
    <t>3.10</t>
  </si>
  <si>
    <t>ПЛ-0,4кВ Ф № 1 від ТП-158 (м.Каховка)</t>
  </si>
  <si>
    <t>Генічеський РЕЗ і ЕМ</t>
  </si>
  <si>
    <t>3.11</t>
  </si>
  <si>
    <t>ПЛ-0,4кВ Ф № 1 від ТП-046 (м.Генічеськ)</t>
  </si>
  <si>
    <t>4.</t>
  </si>
  <si>
    <t>Реконструкція КЛ-6(10)кВ, всього</t>
  </si>
  <si>
    <t>4.1</t>
  </si>
  <si>
    <t>ТП6-ТП-287</t>
  </si>
  <si>
    <t>4.2</t>
  </si>
  <si>
    <t>ПС Текстильная -ТП243</t>
  </si>
  <si>
    <t>4.3</t>
  </si>
  <si>
    <t>ПС Карантинная-РП Шенгелия</t>
  </si>
  <si>
    <t>4.4</t>
  </si>
  <si>
    <t>ПС Карантинная-РП Дорофеева</t>
  </si>
  <si>
    <t>4.5</t>
  </si>
  <si>
    <t>РП Котельная ВЛ к ПС Коммунальная</t>
  </si>
  <si>
    <t>4.6</t>
  </si>
  <si>
    <t>ТП23-ТП349</t>
  </si>
  <si>
    <t>4.7</t>
  </si>
  <si>
    <t>ТП477-ТП55</t>
  </si>
  <si>
    <t>4.8</t>
  </si>
  <si>
    <t>ТП681-ТП690</t>
  </si>
  <si>
    <t>4.9</t>
  </si>
  <si>
    <t>ТП689-ТП690(2)</t>
  </si>
  <si>
    <t>4.10</t>
  </si>
  <si>
    <t>ТП688-ТП690</t>
  </si>
  <si>
    <t>4.11</t>
  </si>
  <si>
    <t>ТП350-ТП349</t>
  </si>
  <si>
    <t>4.12</t>
  </si>
  <si>
    <t>ТП602-ТП611</t>
  </si>
  <si>
    <t>Н.Каховський РЕЗ і ЕМ</t>
  </si>
  <si>
    <t>4.13</t>
  </si>
  <si>
    <t>ЗТП10-ЗТП11</t>
  </si>
  <si>
    <t>Г.Пристанський РЕЗ і ЕМ</t>
  </si>
  <si>
    <t>4.14</t>
  </si>
  <si>
    <t>перемычка Ф-844-Ф8414</t>
  </si>
  <si>
    <t>Реконструкція КЛ-0,4кВ, всього</t>
  </si>
  <si>
    <t>5.1</t>
  </si>
  <si>
    <t>ТП-6 выход на ВЛ ул. Комсомольская</t>
  </si>
  <si>
    <t>5.2</t>
  </si>
  <si>
    <t>ТП-6 выход на ВЛ оп.1 ул. Коммунаров</t>
  </si>
  <si>
    <t>5.3</t>
  </si>
  <si>
    <t>ТП589-ж/д Крымская,120</t>
  </si>
  <si>
    <t>5.4</t>
  </si>
  <si>
    <t>ТП692-ж/д 200лет Херсона,22 к.я..1</t>
  </si>
  <si>
    <t>5.5</t>
  </si>
  <si>
    <t>ТП692-ж/д 200лет Херсона,22 к.я..2</t>
  </si>
  <si>
    <t>5.6</t>
  </si>
  <si>
    <t>ж/д 200лет Херсона,22 к.я..1-ж/д 200лет Херсона,22 к.я..2</t>
  </si>
  <si>
    <t>5.7</t>
  </si>
  <si>
    <t>ТП692-ж/д 200лет Херсона,18</t>
  </si>
  <si>
    <t>5.8</t>
  </si>
  <si>
    <t>ТП692-ж/д Некрасова,28</t>
  </si>
  <si>
    <t>5.9</t>
  </si>
  <si>
    <t>ж/д 200лет Херсона,18-ж/д Некрасова,28</t>
  </si>
  <si>
    <t xml:space="preserve">Переобладнання 1-о фазних ввідних пристроїв приватних будинків під час реконструкції ПЛ-0,4кВ голим дротом з встановленням ізольованого вводу </t>
  </si>
  <si>
    <t>Переобладнання 3-и фазних ввідних пристроїв приватних будинків під час реконструкції ПЛ-0,4кВ голим дротом з встановленням ізольованого вводу</t>
  </si>
  <si>
    <t>Будівництво нових КТП-10/0,4кВ, всього</t>
  </si>
  <si>
    <t>8.1</t>
  </si>
  <si>
    <t>Уст. КТП 400/10/0,4 кВ разгрузка ЗТП 553, ЗТП 810, КТП 558</t>
  </si>
  <si>
    <t>8.2</t>
  </si>
  <si>
    <t>Уст. КТП 400/10/0,4 кВ разгрузка ЗТП 546, ЗТП 799, КТП 785</t>
  </si>
  <si>
    <t>8.3</t>
  </si>
  <si>
    <t xml:space="preserve">Уст. КТП 400/10/0,4 кВ разгр ф 2 від ЗТП 810 </t>
  </si>
  <si>
    <t>8.4</t>
  </si>
  <si>
    <t xml:space="preserve">Уст. КТПГС 400/10/0,4 кВ разгр ф 5 від ЗТП 298 </t>
  </si>
  <si>
    <t>8.5</t>
  </si>
  <si>
    <t xml:space="preserve">Уст. КТПГС 630/250/10/0,4 кВ перекл. ПЛ 0,4 від ЗТП 54, КТП 119 </t>
  </si>
  <si>
    <t>8.6</t>
  </si>
  <si>
    <t>Уст.КТПГС 400/250/6/0,4 кВ разгр. ф.2 від ЗТП 373, ф.4 від ЗТП 189,ф.6 від ЗТП 282</t>
  </si>
  <si>
    <t>Реконструкція РП Черноморський</t>
  </si>
  <si>
    <t>Реконструкція ТП (КТП,ЗТП) з заміною та встановленням додаткових силових трансформаторів</t>
  </si>
  <si>
    <t>ПС 150 кВ "ХНПЗ". Заміна панелей ЭПЗ-1636-67/2</t>
  </si>
  <si>
    <t>ПС 150 кВ "Новотроицкая". Заміна панелей ЭПЗ-1636-67/2</t>
  </si>
  <si>
    <t xml:space="preserve">ПС 150 кВ "Комунальная". Заміна панелей ДФЗ-2 на панелі ДФЗ-201 </t>
  </si>
  <si>
    <t>ПС 150 кВ "Н.Троицкая". Заміна електромеханічних захистів ПЛ-35кВ на мікропроцесорні типу МРЗС-05Л</t>
  </si>
  <si>
    <t xml:space="preserve">ПС 150 кВ “Рубановка”.  Заміна масляних вимикачів на вакуумні 10 кВ (8 шт) </t>
  </si>
  <si>
    <t xml:space="preserve">ПС 150 кВ “Чулаковка”.  Заміна масляних вимикачів на вакуумні 10 кВ (5 шт) </t>
  </si>
  <si>
    <t xml:space="preserve">Придбання зарядних пристроїв типу RU-2 (або аналог)  для шаф постійного оперативного струму ШОТ-01  ПС-150 Никольская та ПС-150 Цюрупинская. </t>
  </si>
  <si>
    <t>ПС 150 кВ "ХНПЗ", "Посад-Покровська". Заміна електромеханічних захистів на мікропроцесорні типу МРЗС-05-01</t>
  </si>
  <si>
    <t>ПС 150 кВ "ХНПЗ" Заміна силового трансформатора 150 кВ, 63 МВА</t>
  </si>
  <si>
    <t xml:space="preserve">ПС 150 кВ "Промышленная". Заміна викітних елементів КРУ-2-10 з масляними вимикачами 3150А (3 шт.) на елементи з вакуумними 10 кВ (3 шт) </t>
  </si>
  <si>
    <t>Реконструкція ПС-35 кВ «ОП Кошевая»</t>
  </si>
  <si>
    <t xml:space="preserve">ПС 35 кВ "Днепровская". Заміна комірок КРУ в комплекті з  вакуумним вимикачами 630А(2 шт) </t>
  </si>
  <si>
    <t xml:space="preserve">ПС 35 кВ "Ж.Порт". Заміна масляних вимикачів на вакуумні 10 кВ (3 шт) </t>
  </si>
  <si>
    <t>Реконструкція заземлюючого пристрою ПС 150 кВ "ХНПЗ"</t>
  </si>
  <si>
    <t>ПКД Реконструкція ВРП-35 та будівельної і портальної частини ВРП-150 ПС 150 кВ «ХНПЗ»</t>
  </si>
  <si>
    <t>ПКД Реконструкція ЗРП 10 кВ ПС 35 кВ “Дзержинская”</t>
  </si>
  <si>
    <t>ПКД  Реконструкція  ВРП 150 кВ "ГНС-КОС"</t>
  </si>
  <si>
    <t>ПКД ПЛ-150 кВ "Никольская-ХТЕЦ"</t>
  </si>
  <si>
    <t>ПКД Реконструкція РЗА ПС-150/35/10 кВ «Дудчино» (встановлення захистів ДФЗ  ПЛ-150 кВ з комплектами  ВЧ-обробки)</t>
  </si>
  <si>
    <t xml:space="preserve">ПКД Реконструкція РЗА ПС-150/35/10 кВ «Новотроицкая» (встановлення захисту ДФЗ з комплектом  ВЧ-обробки на ПЛ-150 Дудчино)
</t>
  </si>
  <si>
    <t>ПКД майбутніх років</t>
  </si>
  <si>
    <t>ВСЬОГО:</t>
  </si>
  <si>
    <t>5.II. Заходи по зниженню та/або недопущенню понаднормативних витрат електроенергії</t>
  </si>
  <si>
    <t>Економічний ефект (зниження ТВЕ)</t>
  </si>
  <si>
    <t>ІІ.1</t>
  </si>
  <si>
    <t>Покращення обліку електроенергії, у т.ч.:</t>
  </si>
  <si>
    <t>ІІ.1.1</t>
  </si>
  <si>
    <t xml:space="preserve">впровадження комерційного обліку електроенергії </t>
  </si>
  <si>
    <t>-</t>
  </si>
  <si>
    <t>ІІ.1.2</t>
  </si>
  <si>
    <t>впровадження обліку електроенергії на межі структурних підрозділів (РЕМ, філій)</t>
  </si>
  <si>
    <t>IІ.1.3.</t>
  </si>
  <si>
    <t xml:space="preserve">Заміна вимірювальних трансформаторів </t>
  </si>
  <si>
    <t>ТС 0,4 кВ</t>
  </si>
  <si>
    <t>ТС, ТН 6(10)-150 кВ</t>
  </si>
  <si>
    <t>ІІ.1.4</t>
  </si>
  <si>
    <t>впровадження обліку споживання електроенергії населенням, у т.ч.:</t>
  </si>
  <si>
    <t>сільським</t>
  </si>
  <si>
    <t>міським</t>
  </si>
  <si>
    <t>ІІ.1.5</t>
  </si>
  <si>
    <t>придбання стендів повірки, зразкових лічильників, повірочних лабораторій, тощо</t>
  </si>
  <si>
    <t>ІІ.2</t>
  </si>
  <si>
    <t>5.III. Впровадження та розвиток АСДТК</t>
  </si>
  <si>
    <t>III.1</t>
  </si>
  <si>
    <t>Придбання та впровадження засобів диспетчерсько-технологічного управління замість морально і фізично-зношених та для розширення існуючих, у т.ч.:</t>
  </si>
  <si>
    <t>III.1.1</t>
  </si>
  <si>
    <t>Система керування і отримання даних</t>
  </si>
  <si>
    <t>III.1.2</t>
  </si>
  <si>
    <t>Телемеханіка ПС</t>
  </si>
  <si>
    <t>III.1.3</t>
  </si>
  <si>
    <t>Архіватори мови</t>
  </si>
  <si>
    <t>III.1.4</t>
  </si>
  <si>
    <t>Цифрові реєстратори подій</t>
  </si>
  <si>
    <t>III.2</t>
  </si>
  <si>
    <t>5.III.1. Етапи впровадження АСДТК</t>
  </si>
  <si>
    <t>№</t>
  </si>
  <si>
    <t>Найменування ділянок (об'єктів), на яких реалізується Проект</t>
  </si>
  <si>
    <t>Період реалізації Проекту</t>
  </si>
  <si>
    <t>Вартість реалізації Проекту відповідно до проектно-кошторисної документації</t>
  </si>
  <si>
    <t xml:space="preserve">Фактичне фінансування реалізації Проекту станом на початок базового періоду  </t>
  </si>
  <si>
    <t xml:space="preserve">Фінансування реалізації Проекту, перебдачене Інвестиційною програмою на базовий період  </t>
  </si>
  <si>
    <t xml:space="preserve">Фінансування, передбачене на реалізацію Проекту Інвестиційною програмою на прогнозний період </t>
  </si>
  <si>
    <t>Сума коштів, необхідна для завершення реалізації Проекту з розбивкою по роках</t>
  </si>
  <si>
    <t>1</t>
  </si>
  <si>
    <t>Телемеханізація ПС-154кВ “Новотроицкая”</t>
  </si>
  <si>
    <t>2</t>
  </si>
  <si>
    <t>Телемеханізація ПС-35кВ “Кошевая”</t>
  </si>
  <si>
    <t>3</t>
  </si>
  <si>
    <t>Розробка проекту телемеханізації ПС-154кВ “Коммунальная”</t>
  </si>
  <si>
    <t>4</t>
  </si>
  <si>
    <t>Розробка проекту телемеханізації ПС-154кВ “Посад-Покровская”</t>
  </si>
  <si>
    <t>5</t>
  </si>
  <si>
    <t>Телемеханізація ПС-154кВ “Чулаковская”</t>
  </si>
  <si>
    <t>6</t>
  </si>
  <si>
    <t>Телемеханізація ПС-154кВ “Посад-Покровская”</t>
  </si>
  <si>
    <t>7</t>
  </si>
  <si>
    <t>Розробка проекту телемеханізації ПС-35кВ “Джержинская”</t>
  </si>
  <si>
    <t>8</t>
  </si>
  <si>
    <t>Розробка проекту телемеханізації ПС-154кВ “Никольская”</t>
  </si>
  <si>
    <t>9</t>
  </si>
  <si>
    <t>Телемеханізація ПС-35кВ “Консервная ”</t>
  </si>
  <si>
    <t>10</t>
  </si>
  <si>
    <t>Телемеханізація ПС-35кВ “Очистные сооружения”</t>
  </si>
  <si>
    <t>11</t>
  </si>
  <si>
    <t>Розробка проекту телемеханізації ПС-154кВ “Промышленная”</t>
  </si>
  <si>
    <t>12</t>
  </si>
  <si>
    <t>Розробка проекту телемеханізації ПС-35кВ “Заводская”</t>
  </si>
  <si>
    <t>13</t>
  </si>
  <si>
    <t>Телемеханізація ПС-154кВ “Трифоновка”</t>
  </si>
  <si>
    <t>14</t>
  </si>
  <si>
    <t>Телемеханізація  ПС-154кВ “Коммунальная”</t>
  </si>
  <si>
    <t>15</t>
  </si>
  <si>
    <t>Розробка проекту телемеханізації ПС-154кВ “Бериславская”</t>
  </si>
  <si>
    <t>16</t>
  </si>
  <si>
    <t>Розробка проекту телемеханізації ПС-35кВ “Киндийская”</t>
  </si>
  <si>
    <t>17</t>
  </si>
  <si>
    <t>Телемеханізація ПС-35кВ “Джержинская”</t>
  </si>
  <si>
    <t>18</t>
  </si>
  <si>
    <t>Телемеханізація ПС-154кВ “Никольская”</t>
  </si>
  <si>
    <t>19</t>
  </si>
  <si>
    <t>Розробка проекту телемеханізації ПС-154кВ “ГНС СОС”</t>
  </si>
  <si>
    <t>20</t>
  </si>
  <si>
    <t>Розробка проекту телемеханізації ПС-35кВ “Строительная ”</t>
  </si>
  <si>
    <t>21</t>
  </si>
  <si>
    <t>Телемеханізація ПС-154кВ “Промышленная”</t>
  </si>
  <si>
    <t>22</t>
  </si>
  <si>
    <t>Телемеханізація ПС-35кВ “Заводская”</t>
  </si>
  <si>
    <t>23</t>
  </si>
  <si>
    <t>Розробка проекту телемеханізації ПС-154кВ “Рубановская”</t>
  </si>
  <si>
    <t>24</t>
  </si>
  <si>
    <t>Розробка проекту телемеханізації ПС-35кВ “Бетонверфь”</t>
  </si>
  <si>
    <t>25</t>
  </si>
  <si>
    <t>Телемеханізація ПС-154кВ “Бериславская”</t>
  </si>
  <si>
    <t>26</t>
  </si>
  <si>
    <t>Телемеханізація ПС-35кВ “Киндийская”</t>
  </si>
  <si>
    <t>27</t>
  </si>
  <si>
    <t>Розробка проекту телемеханізації ПС-154кВ “Промбаза”</t>
  </si>
  <si>
    <t>28</t>
  </si>
  <si>
    <t>Розробка проекту телемеханізації ПС-35кВ “Лесная”</t>
  </si>
  <si>
    <t>29</t>
  </si>
  <si>
    <t>Телемеханізація ПС-154кВ “ГНС СОС”</t>
  </si>
  <si>
    <t>30</t>
  </si>
  <si>
    <t>Телемеханізація ПС-35кВ “Строительная ”</t>
  </si>
  <si>
    <t>31</t>
  </si>
  <si>
    <t>Розробка проекту телемеханізації ПС-154кВ “Н-Тимофеевская”</t>
  </si>
  <si>
    <t>32</t>
  </si>
  <si>
    <t>Розробка проекту телемеханізації ПС-35кВ “Антоновская”</t>
  </si>
  <si>
    <t>33</t>
  </si>
  <si>
    <t>Телемеханізація ПС-154кВ “Рубановская”</t>
  </si>
  <si>
    <t>34</t>
  </si>
  <si>
    <t>Телемеханізація ПС-35кВ “Бетонверфь”</t>
  </si>
  <si>
    <t>35</t>
  </si>
  <si>
    <t>Розробка проекту телемеханізації ПС-154кВ “Н-Алексеевская”</t>
  </si>
  <si>
    <t>36</t>
  </si>
  <si>
    <t>Розробка проекту телемеханізації ПС-35кВ “Солнечное”</t>
  </si>
  <si>
    <t>37</t>
  </si>
  <si>
    <t>Телемеханізація ПС-154кВ “Промбаза”</t>
  </si>
  <si>
    <t>38</t>
  </si>
  <si>
    <t>Телемеханізації ПС-35кВ “Лесная”</t>
  </si>
  <si>
    <t>Телемеханізації ПС-154кВ “Н-Тимофеевская”</t>
  </si>
  <si>
    <t>Усього</t>
  </si>
  <si>
    <t xml:space="preserve">                                                                                Вартість реалізації на наступні роки:</t>
  </si>
  <si>
    <t>2016р</t>
  </si>
  <si>
    <t>2017р</t>
  </si>
  <si>
    <t>2018р</t>
  </si>
  <si>
    <t>2019р</t>
  </si>
  <si>
    <t>2020р</t>
  </si>
  <si>
    <t>2021р</t>
  </si>
  <si>
    <t xml:space="preserve">Керівник організації  </t>
  </si>
  <si>
    <t>_________________</t>
  </si>
  <si>
    <t>І.М.Сафронов</t>
  </si>
  <si>
    <t>(або особа, яка його заміщує)</t>
  </si>
  <si>
    <t>(П. І. Б.)</t>
  </si>
  <si>
    <t xml:space="preserve">    "____" ____________ 20___ року</t>
  </si>
  <si>
    <t>5.ІV. Впровадження та розвиток інформаційних технологій</t>
  </si>
  <si>
    <t>ІV.1</t>
  </si>
  <si>
    <t>Модернізація існуючих та закупівля нових засобів комп'ютеризації, у т.ч.:</t>
  </si>
  <si>
    <t>ІV.1.1</t>
  </si>
  <si>
    <t>закупівля нових робочих станцій</t>
  </si>
  <si>
    <t>ІV.1.2</t>
  </si>
  <si>
    <t>закупівля нового мережного обладнання</t>
  </si>
  <si>
    <t>ІV.1.3</t>
  </si>
  <si>
    <t>модернізація застарілих мереж і комунікаційного обладнання</t>
  </si>
  <si>
    <t>ІV.1.4</t>
  </si>
  <si>
    <t>інші засоби комп'ютеризації</t>
  </si>
  <si>
    <t>ІV.2</t>
  </si>
  <si>
    <t>Закупівля програмного забезпечення, у т.ч.:</t>
  </si>
  <si>
    <t>ІV.2.1</t>
  </si>
  <si>
    <t>Windows 98 (95) ОЕМ</t>
  </si>
  <si>
    <t>ІV.2.2</t>
  </si>
  <si>
    <t>Windows 2000/ХР ОЕМ</t>
  </si>
  <si>
    <t>ІV.2.3</t>
  </si>
  <si>
    <t>Windows 2000 server</t>
  </si>
  <si>
    <t>ІV.2.4</t>
  </si>
  <si>
    <t>Windows NT 4.0 server</t>
  </si>
  <si>
    <t>ІV.2.5</t>
  </si>
  <si>
    <t>інше програмне забезпечення</t>
  </si>
  <si>
    <t>140-141</t>
  </si>
  <si>
    <t>ІV.3</t>
  </si>
  <si>
    <t>Модернізація прикладного програмного забезпечення, у т.ч.:</t>
  </si>
  <si>
    <t>ІV.3.1</t>
  </si>
  <si>
    <t>білінгових систем</t>
  </si>
  <si>
    <t>ІV.3.2</t>
  </si>
  <si>
    <t>інші системи контролю та управління</t>
  </si>
  <si>
    <t>ІV.4</t>
  </si>
  <si>
    <t>Інформаційна система управління виробництвом</t>
  </si>
  <si>
    <t>ІV.5</t>
  </si>
  <si>
    <t>147-148</t>
  </si>
  <si>
    <t>5.V. Впровадження та розвиток системи зв'язку і телекомунікацій</t>
  </si>
  <si>
    <t>Економічний ефект (окупність в роках)</t>
  </si>
  <si>
    <t>V.1.</t>
  </si>
  <si>
    <t>Системи зв'язку та телекомунікацій, у т.ч.:</t>
  </si>
  <si>
    <t>V.1.1</t>
  </si>
  <si>
    <t>впровадження корпоративного зв'язку компанії</t>
  </si>
  <si>
    <t>V.1.2</t>
  </si>
  <si>
    <t>цифрові АТС</t>
  </si>
  <si>
    <t>V.1.3</t>
  </si>
  <si>
    <t>модернізація існуючих видів зв'язку (радіо, високочастотні, р/релейні і т.п)</t>
  </si>
  <si>
    <t>V.1.4</t>
  </si>
  <si>
    <t>резервне електроживлення засобів зв'язку та телекомунікацій</t>
  </si>
  <si>
    <t>V.2.</t>
  </si>
  <si>
    <t>Придбання обладнання, що не вимагає монтажу</t>
  </si>
  <si>
    <t>V.3.</t>
  </si>
  <si>
    <t>Разом</t>
  </si>
  <si>
    <t>5.V.1. Етапи впровадження системи зв'язку і телекомунікацій</t>
  </si>
  <si>
    <t xml:space="preserve">Фактичне фінансування реалізації Проекту станом на початок базового періоду </t>
  </si>
  <si>
    <t xml:space="preserve">Фінансування реалізації Проекту, перебдачене Інвестиційною програмою базового періоду </t>
  </si>
  <si>
    <t>Упровадження та розвиток магістральних ліній зв'язку</t>
  </si>
  <si>
    <t>1.1</t>
  </si>
  <si>
    <t>Будівництво радіорелейної лінії (РРЛ)  Берислав – ПС 150кВ "ГНС СОС" на базі РРС типу Caragon</t>
  </si>
  <si>
    <t>1.2</t>
  </si>
  <si>
    <t>Будівництво радіорелейної лінії (РРЛ)   – ПС 150кВ "ГНС СОС" -ПС 150 кВ "Дудчино" на базі РРС типу Caragon</t>
  </si>
  <si>
    <t>1.3</t>
  </si>
  <si>
    <t>Будівництво радіорелейної лінії (РРЛ)   ПС 150 кВ "Дудчино" – ПС 35кВ "Чкаловская" на базі РРС типу Caragon</t>
  </si>
  <si>
    <t>1.4</t>
  </si>
  <si>
    <t>Будівництво радіорелейної лінії (РРЛ)    ПС 35кВ "Чкаловская"-ПС 150 кВ "Н. Троицкая"   на базі РРС типу Caragon</t>
  </si>
  <si>
    <t>1.5</t>
  </si>
  <si>
    <t>Будівництво радіорелейної лінії (РРЛ)  ПС 150 кВ "Н. Троицкая" – ПС 150кВ "Н.Алексеевка" на базі РРС типу Caragon</t>
  </si>
  <si>
    <t>1.6</t>
  </si>
  <si>
    <t>Будівництво радіорелейної лінії (РРЛ)  ПС 150 кВ "Н.Алексеевка" – Генічеськ на базі РРС типу Caragon</t>
  </si>
  <si>
    <t>1.7</t>
  </si>
  <si>
    <t>Будівництво радіорелейної лінії (РРЛ)    зв’язку Берислав - Горностаївка на базі РРС типу Caragon</t>
  </si>
  <si>
    <t>1.8</t>
  </si>
  <si>
    <t>Будівництво радіорелейної лінії (РРЛ)     Горностаївка –ПС 35кВ "Гавриловка" на базі РРС типу Caragon</t>
  </si>
  <si>
    <t>1.9</t>
  </si>
  <si>
    <t>Будівництво радіорелейної лінії (РРЛ)    ПС 35кВ "Гавриловка" - ПС 154кВ "Трифонівка"  на базі РРС типу Caragon</t>
  </si>
  <si>
    <t>1.10</t>
  </si>
  <si>
    <t>Будівництво радіорелейної лінії (РРЛ)      ПС 154кВ "Трифонівка"  - В-Олександрівка  на базі РРС типу Caragon</t>
  </si>
  <si>
    <t>Упровадження та розвиток ліній зв'язку "останньої милі"</t>
  </si>
  <si>
    <t>2.1</t>
  </si>
  <si>
    <t>Будівництво радіорелейної лінії зв’язку ПС 150 кВ "Виноградово" - Каланчак  на базі РРС типу AirMux-200 для організації мережі зв’язку та передавання даних</t>
  </si>
  <si>
    <t>2.2</t>
  </si>
  <si>
    <t>Будівництво радіорелейної лінії зв’язку Чаплинка – ПС 150 кВ "Дудчино" на базі РРС типу AirMux-200 для організації мережі зв’язку та передавання даних</t>
  </si>
  <si>
    <t>2.3.</t>
  </si>
  <si>
    <t>Будівництво радіорелейної лінії зв’язку ПС 150 кВ "ГНС СОС" – ПС 150 кВ "ГНС КОС" на базі РРС типу AirMux-200 для організації мережі зв’язку та передавання даних</t>
  </si>
  <si>
    <t>2.4</t>
  </si>
  <si>
    <t>Будівництво радіорелейної лінії зв’язку В-Олександрівка – Високопілля на базі РРС типу AirMux-200 для організації мережі зв’язку та передавання даних</t>
  </si>
  <si>
    <t>Будівництво радіорелейної лінії зв’язку  ПС 35кВ Гавриловка - Б.Лепетиха  на базі РРС типу AirMux-200 для організації мережі зв’язку та передавання даних</t>
  </si>
  <si>
    <t>2.5</t>
  </si>
  <si>
    <t>2.6</t>
  </si>
  <si>
    <t>Будівництво радіорелейної лінії зв’язку В-Лепетиха – В-Рогачик на базі РРС типу AirMux-200 для організації мережі зв’язку та передавання даних</t>
  </si>
  <si>
    <t>2.7</t>
  </si>
  <si>
    <t>Будівництво радіорелейної лінії зв’язку  Високопілля - Н-Воронцовка на базі РРС типу AirMux-200 для організації мережі зв’язку та передавання даних</t>
  </si>
  <si>
    <t>Установлення та заміна каналоутворюючого та комутаційного обладнання (у тому числі АТС)</t>
  </si>
  <si>
    <t>3.1</t>
  </si>
  <si>
    <t>Модернізація каналоутворуючого обладнання цифрових потоків передавання даних корпоративної телефонної мережі</t>
  </si>
  <si>
    <t>Побудова корпоративної телефонної мережі на базі обладнання АТС “Avaya Aura Communication Manager”</t>
  </si>
  <si>
    <t>Упровадження та розвиток локальних обчислювалних мереж (у тому числі СКС)</t>
  </si>
  <si>
    <t>5.VI. Модернізація та закупівля транспортних засобів</t>
  </si>
  <si>
    <t>тис.грн без ПДВ)</t>
  </si>
  <si>
    <t>БКУ на базі Т-150</t>
  </si>
  <si>
    <t>Електролабораторія ЕТЛ-35 на базі Форд</t>
  </si>
  <si>
    <t>ГАЗель вантажо-пассаж "Дует" 4х4 ГАЗ-33023-388</t>
  </si>
  <si>
    <t>Опоровіз Вест-960010</t>
  </si>
  <si>
    <t>5.VIІ. Інше</t>
  </si>
  <si>
    <t>Вимірювач параметрів каналів тональної частоти ТЧ-ПРО (або аналог)</t>
  </si>
  <si>
    <t>Дизель-генератор КДЕ-6500Т (або аналог)</t>
  </si>
  <si>
    <t xml:space="preserve">Реконструкція диспетчерської будівлі Скадовського РЕЗ і ЕМ </t>
  </si>
  <si>
    <t>6. 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2015 рік</t>
  </si>
  <si>
    <t xml:space="preserve">                                                  </t>
  </si>
  <si>
    <t>Склад цільової програми</t>
  </si>
  <si>
    <t xml:space="preserve">Назва продукції </t>
  </si>
  <si>
    <t>Одиниця виміру</t>
  </si>
  <si>
    <t>Вартість одиниці продукції
(тис.грн БЕЗ ПДВ)</t>
  </si>
  <si>
    <t>у т. ч. по кварталах</t>
  </si>
  <si>
    <t>Джерело фінансування</t>
  </si>
  <si>
    <t>Найменування відповідної державної програми</t>
  </si>
  <si>
    <t>№ сторінки пояснювальної записки</t>
  </si>
  <si>
    <t>№ сторінки обґрунтовуючих матеріалів</t>
  </si>
  <si>
    <t xml:space="preserve">Примітка 
% по розділам
</t>
  </si>
  <si>
    <t>кількість</t>
  </si>
  <si>
    <t>тис.грн БЕЗ ПДВ</t>
  </si>
  <si>
    <t>І квартал</t>
  </si>
  <si>
    <t>ІІ квартал</t>
  </si>
  <si>
    <t>ІІІ квартал</t>
  </si>
  <si>
    <t>ІV квартал</t>
  </si>
  <si>
    <t xml:space="preserve">І. Технічний розвиток (переозброєння), модернізація та будівництво електричних мереж та обладнання </t>
  </si>
  <si>
    <t>Реконструкція ПЛ-150 кВ</t>
  </si>
  <si>
    <t>км</t>
  </si>
  <si>
    <t>Амортизація</t>
  </si>
  <si>
    <t>Реконструкція КЛ-35 кВ</t>
  </si>
  <si>
    <t xml:space="preserve">Реконструкція ПЛ 0,4 кВ </t>
  </si>
  <si>
    <t>Реконструкція ліній 0,4 кВ ізол. пров</t>
  </si>
  <si>
    <t>Реконструкція 6(10) кВ</t>
  </si>
  <si>
    <t>Реконструкція КЛ 6(10) кВ</t>
  </si>
  <si>
    <t>Реконструкція КЛ-0,4 кВ</t>
  </si>
  <si>
    <t>Модернізація ПЛ-0,4 кВ</t>
  </si>
  <si>
    <t>шт</t>
  </si>
  <si>
    <t xml:space="preserve">Переобладнання 3-и фазних ввідних пристроїв приватних будинків під час реконструкції ПЛ-0,4кВ голим дротом з встановленням ізольованого вводу </t>
  </si>
  <si>
    <t>Будівництво ТП</t>
  </si>
  <si>
    <t xml:space="preserve">Встановлення нових та додаткових КТП </t>
  </si>
  <si>
    <t>Модернізація та реконструкція ТП 10 кВ</t>
  </si>
  <si>
    <t>Реконструкція «РП-Черноморский»</t>
  </si>
  <si>
    <t>комплекс</t>
  </si>
  <si>
    <t>Заміна трансформаторів</t>
  </si>
  <si>
    <t>Амортизація-105,77 ТВЕ-3279,23</t>
  </si>
  <si>
    <t>Реконструкція ПС 150,35 кВ</t>
  </si>
  <si>
    <t>Заміна панелі ЕПЗ-1636-67/2  ВЕ-150кВ Коммунальная  на ПС-150 "ХНПЗ".</t>
  </si>
  <si>
    <t>ТВЕ</t>
  </si>
  <si>
    <t>Заміна панелі ЕПЗ-1636-67/2   ВЕ-150кВ “Н.Алексеевка” на ПС-150 "Новотроицкая"</t>
  </si>
  <si>
    <t>Реконструкція ПС 35 кВ “ОП Кошевая”</t>
  </si>
  <si>
    <t>Всього по розділу I</t>
  </si>
  <si>
    <t>II. Заходи по зниженню та/або недопущенню понаднормативних витрат електроенергії</t>
  </si>
  <si>
    <t>Впровадження обліку споживання електроенергії сільському населенню</t>
  </si>
  <si>
    <t>Лічильник електронний однофазний (механічна система відліку)</t>
  </si>
  <si>
    <t>Реактив</t>
  </si>
  <si>
    <t>Лічильник електронний трифазний (механічна система відліку)</t>
  </si>
  <si>
    <t>Впровадження обліку споживання електроенергії міському населенню</t>
  </si>
  <si>
    <t>Лічильник електронний однофазний з системою дистанційного зйому показів</t>
  </si>
  <si>
    <t>Лічильники електронні трифазні прямого включення з системою дистанційного зйому показів</t>
  </si>
  <si>
    <t>Лічильник електронний трифазний (з інтерфейсом електричного зв’язку)</t>
  </si>
  <si>
    <t xml:space="preserve">Лічильник електронний трифазний (з вбудованим GSM-модемом) </t>
  </si>
  <si>
    <t>Лічильник електронний однофазний (з функцією обмеження навантаження до заданного рівня)</t>
  </si>
  <si>
    <t>Лічильник електронний трифазний (з функцією обмеження навантаження до заданного рівня)</t>
  </si>
  <si>
    <t>Лічильник електронний трифазний НІК 2301 АТ1 5(10)А 100В (або аналог)</t>
  </si>
  <si>
    <t>Індикатор впливу магнітного поля</t>
  </si>
  <si>
    <t>Всього по розділу IІ</t>
  </si>
  <si>
    <t>IІІ. Впровадження та розвиток АСДТК</t>
  </si>
  <si>
    <t>Телемеханика ПС</t>
  </si>
  <si>
    <t>Телемеханізація ПС-150 кВ "Н.Троицкая"</t>
  </si>
  <si>
    <t>Телемеханізації ПС-35 кВ «Кошевая»</t>
  </si>
  <si>
    <t>Розробка проекту телемеханізації ПС-154 кВ "Коммунальная"</t>
  </si>
  <si>
    <t>Розробка проекту телемеханізації ПС-154 кВ "П.Покровская"</t>
  </si>
  <si>
    <t>Архіватори мови DTR-05</t>
  </si>
  <si>
    <t>Створення комплексу для автоматичної реєстрації перерв в електропостачанні фідерів ПС 35 кВ (І етап)</t>
  </si>
  <si>
    <t>Всього по розділу IІІ</t>
  </si>
  <si>
    <t>ІV. Впровадження та розвиток інформаційних технологій.</t>
  </si>
  <si>
    <t>Закупівля нових робочих станцій</t>
  </si>
  <si>
    <t>Інші засоби комп'ютеризації</t>
  </si>
  <si>
    <t>МФУ HP LaserJet Pro 500 M521dn, або аналог</t>
  </si>
  <si>
    <t>МФУ А4 ч/б Canon i-SENSYS MF4730, або аналог</t>
  </si>
  <si>
    <t>Принтер А4 HP LaserJet M602dn, або аналог</t>
  </si>
  <si>
    <t>Придбання програмного забезпечення</t>
  </si>
  <si>
    <t>Програмне забезпечення Microsoft (MEE) (або аналог)</t>
  </si>
  <si>
    <t>Розробка проекту колцентру на програмній платформі Microsoft Dynamics CRM</t>
  </si>
  <si>
    <t>Розробка проекту автоматизованої системи управління підприємством (ERP) на програмній платформі Microsoft Dynamics AX</t>
  </si>
  <si>
    <t>Microsoft CoreCall+WinProw+OfficeProPlus (W06-01063, K4U-00266, 269-12445)</t>
  </si>
  <si>
    <t>Microsoft VisioStd ALNG LicSAPk MVL (D86-01175)</t>
  </si>
  <si>
    <t>Сервер ОІК (ПЗ)</t>
  </si>
  <si>
    <t>Облаштування Диспетчерського пункту Голопристанского, Скадовского РЕЗ и ЕМ обладнанням відображення схем оперативного керування</t>
  </si>
  <si>
    <t>Облаштування Диспетчерського пункту Цюрупинского РЕС и ЕМ обладнанням відображення схем оперативного керування</t>
  </si>
  <si>
    <t>Всього по розділу IV:</t>
  </si>
  <si>
    <t>V. Впровадження та розвиток систем зв'язку та телекомунікацій</t>
  </si>
  <si>
    <t xml:space="preserve">Модернізація існуючих видів зв'язку </t>
  </si>
  <si>
    <t>Будівництво радіорелейної лінії (РРЛ) Берислав-ПС-154 кВ “ГНС СОС”</t>
  </si>
  <si>
    <t>Будівництво радіорелейної лінії (РРЛ) ПС-154 кВ “ГНС СОС”- ПС-154 кВ “Дудчино”</t>
  </si>
  <si>
    <t>Всього по розділу V:</t>
  </si>
  <si>
    <t>VІ. Модернізація та закупівля транспортних засобів.</t>
  </si>
  <si>
    <t>Закупівля транспортних засобів</t>
  </si>
  <si>
    <t>ТВЕ-3503,20          Реактив-214,28</t>
  </si>
  <si>
    <t>Всього по розділу VІ:</t>
  </si>
  <si>
    <t>Всього по розділу VІІ:</t>
  </si>
  <si>
    <t>Всього по програмі</t>
  </si>
  <si>
    <t>Голова Правління</t>
  </si>
  <si>
    <t>"_____" _______________ _______ року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</si>
</sst>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%"/>
    <numFmt numFmtId="166" formatCode="\ * #,##0.00&quot;    &quot;;\-* #,##0.00&quot;    &quot;;\ * \-#&quot;    &quot;;@\ "/>
    <numFmt numFmtId="167" formatCode="#,##0.00"/>
    <numFmt numFmtId="168" formatCode="0.00%"/>
    <numFmt numFmtId="169" formatCode="0.0%"/>
    <numFmt numFmtId="170" formatCode="0"/>
    <numFmt numFmtId="171" formatCode="0.00"/>
    <numFmt numFmtId="172" formatCode="#,##0.000"/>
    <numFmt numFmtId="173" formatCode="0.000"/>
    <numFmt numFmtId="174" formatCode="@"/>
    <numFmt numFmtId="175" formatCode="0.0"/>
    <numFmt numFmtId="176" formatCode="#,##0&quot;р.&quot;;[RED]\-#,##0&quot;р.&quot;"/>
    <numFmt numFmtId="177" formatCode="#,##0.0"/>
    <numFmt numFmtId="178" formatCode="#,##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Arial CE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name val="PragmaticaCTT"/>
      <family val="0"/>
    </font>
    <font>
      <sz val="12"/>
      <name val="Times New Roman"/>
      <family val="1"/>
    </font>
    <font>
      <b/>
      <sz val="12"/>
      <name val="Arial Cyr"/>
      <family val="2"/>
    </font>
    <font>
      <sz val="9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25"/>
      <name val="Times New Roman"/>
      <family val="1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2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5" fillId="7" borderId="1" applyNumberFormat="0" applyAlignment="0" applyProtection="0"/>
    <xf numFmtId="164" fontId="6" fillId="20" borderId="2" applyNumberFormat="0" applyAlignment="0" applyProtection="0"/>
    <xf numFmtId="164" fontId="7" fillId="20" borderId="1" applyNumberFormat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4" fontId="1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5" fillId="0" borderId="0">
      <alignment/>
      <protection/>
    </xf>
    <xf numFmtId="164" fontId="2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7" fillId="3" borderId="0" applyNumberFormat="0" applyBorder="0" applyAlignment="0" applyProtection="0"/>
    <xf numFmtId="164" fontId="18" fillId="0" borderId="0" applyNumberFormat="0" applyFill="0" applyBorder="0" applyAlignment="0" applyProtection="0"/>
    <xf numFmtId="164" fontId="2" fillId="23" borderId="8" applyNumberFormat="0" applyAlignment="0" applyProtection="0"/>
    <xf numFmtId="165" fontId="2" fillId="0" borderId="0">
      <alignment/>
      <protection/>
    </xf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  <xf numFmtId="166" fontId="0" fillId="0" borderId="0" applyFill="0" applyBorder="0" applyAlignment="0" applyProtection="0"/>
    <xf numFmtId="166" fontId="2" fillId="0" borderId="0" applyFill="0" applyBorder="0" applyAlignment="0" applyProtection="0"/>
    <xf numFmtId="164" fontId="21" fillId="4" borderId="0" applyNumberFormat="0" applyBorder="0" applyAlignment="0" applyProtection="0"/>
    <xf numFmtId="164" fontId="0" fillId="0" borderId="0">
      <alignment/>
      <protection/>
    </xf>
  </cellStyleXfs>
  <cellXfs count="390">
    <xf numFmtId="164" fontId="0" fillId="0" borderId="0" xfId="0" applyAlignment="1">
      <alignment/>
    </xf>
    <xf numFmtId="164" fontId="22" fillId="8" borderId="10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 applyProtection="1">
      <alignment/>
      <protection/>
    </xf>
    <xf numFmtId="164" fontId="23" fillId="0" borderId="10" xfId="0" applyFont="1" applyBorder="1" applyAlignment="1" applyProtection="1">
      <alignment horizontal="center" vertical="center"/>
      <protection/>
    </xf>
    <xf numFmtId="164" fontId="23" fillId="0" borderId="10" xfId="0" applyFont="1" applyFill="1" applyBorder="1" applyAlignment="1" applyProtection="1">
      <alignment horizontal="center" vertical="center" wrapText="1"/>
      <protection locked="0"/>
    </xf>
    <xf numFmtId="164" fontId="23" fillId="0" borderId="10" xfId="0" applyFont="1" applyFill="1" applyBorder="1" applyAlignment="1" applyProtection="1">
      <alignment horizontal="center" vertical="center"/>
      <protection/>
    </xf>
    <xf numFmtId="164" fontId="23" fillId="0" borderId="10" xfId="0" applyFont="1" applyFill="1" applyBorder="1" applyAlignment="1" applyProtection="1">
      <alignment horizontal="center" vertical="center"/>
      <protection locked="0"/>
    </xf>
    <xf numFmtId="164" fontId="23" fillId="0" borderId="10" xfId="0" applyFont="1" applyBorder="1" applyAlignment="1" applyProtection="1">
      <alignment horizontal="center" vertical="center" wrapText="1"/>
      <protection locked="0"/>
    </xf>
    <xf numFmtId="164" fontId="23" fillId="0" borderId="10" xfId="0" applyFont="1" applyBorder="1" applyAlignment="1" applyProtection="1">
      <alignment horizontal="center" vertical="center" wrapText="1"/>
      <protection/>
    </xf>
    <xf numFmtId="164" fontId="23" fillId="0" borderId="10" xfId="0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7" fontId="23" fillId="0" borderId="10" xfId="0" applyNumberFormat="1" applyFont="1" applyFill="1" applyBorder="1" applyAlignment="1" applyProtection="1">
      <alignment horizontal="center" vertical="center" wrapText="1"/>
      <protection/>
    </xf>
    <xf numFmtId="168" fontId="23" fillId="0" borderId="10" xfId="0" applyNumberFormat="1" applyFont="1" applyFill="1" applyBorder="1" applyAlignment="1" applyProtection="1">
      <alignment horizontal="center" vertical="center" wrapText="1"/>
      <protection/>
    </xf>
    <xf numFmtId="167" fontId="24" fillId="22" borderId="10" xfId="0" applyNumberFormat="1" applyFont="1" applyFill="1" applyBorder="1" applyAlignment="1" applyProtection="1">
      <alignment horizontal="center" vertical="center" wrapText="1"/>
      <protection/>
    </xf>
    <xf numFmtId="169" fontId="23" fillId="0" borderId="10" xfId="0" applyNumberFormat="1" applyFont="1" applyFill="1" applyBorder="1" applyAlignment="1" applyProtection="1">
      <alignment horizontal="center" vertical="center" wrapText="1"/>
      <protection/>
    </xf>
    <xf numFmtId="167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11" xfId="0" applyNumberFormat="1" applyFont="1" applyFill="1" applyBorder="1" applyAlignment="1" applyProtection="1">
      <alignment horizontal="center" vertical="center" wrapText="1"/>
      <protection/>
    </xf>
    <xf numFmtId="168" fontId="15" fillId="0" borderId="11" xfId="0" applyNumberFormat="1" applyFont="1" applyFill="1" applyBorder="1" applyAlignment="1" applyProtection="1">
      <alignment horizontal="center" vertical="center" wrapText="1"/>
      <protection/>
    </xf>
    <xf numFmtId="167" fontId="25" fillId="0" borderId="11" xfId="0" applyNumberFormat="1" applyFont="1" applyFill="1" applyBorder="1" applyAlignment="1" applyProtection="1">
      <alignment horizontal="center" vertical="center" wrapText="1"/>
      <protection/>
    </xf>
    <xf numFmtId="167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164" fontId="22" fillId="0" borderId="0" xfId="68" applyFont="1" applyBorder="1" applyAlignment="1" applyProtection="1">
      <alignment horizontal="left"/>
      <protection hidden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22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 applyProtection="1">
      <alignment horizontal="center" vertical="center"/>
      <protection/>
    </xf>
    <xf numFmtId="164" fontId="0" fillId="0" borderId="0" xfId="0" applyAlignment="1">
      <alignment horizontal="center" vertical="center" wrapText="1"/>
    </xf>
    <xf numFmtId="164" fontId="27" fillId="0" borderId="0" xfId="68" applyFont="1" applyProtection="1">
      <alignment/>
      <protection hidden="1"/>
    </xf>
    <xf numFmtId="164" fontId="27" fillId="0" borderId="0" xfId="0" applyFont="1" applyAlignment="1">
      <alignment horizontal="center"/>
    </xf>
    <xf numFmtId="164" fontId="27" fillId="0" borderId="0" xfId="68" applyFont="1" applyAlignment="1" applyProtection="1">
      <alignment horizontal="left"/>
      <protection hidden="1"/>
    </xf>
    <xf numFmtId="164" fontId="27" fillId="0" borderId="0" xfId="68" applyFont="1" applyAlignment="1" applyProtection="1">
      <alignment horizontal="left" indent="3"/>
      <protection hidden="1"/>
    </xf>
    <xf numFmtId="164" fontId="28" fillId="8" borderId="10" xfId="0" applyFont="1" applyFill="1" applyBorder="1" applyAlignment="1" applyProtection="1">
      <alignment horizontal="center" vertical="center" wrapText="1"/>
      <protection/>
    </xf>
    <xf numFmtId="164" fontId="15" fillId="0" borderId="10" xfId="0" applyFont="1" applyBorder="1" applyAlignment="1" applyProtection="1">
      <alignment horizontal="center" vertical="center" wrapText="1"/>
      <protection/>
    </xf>
    <xf numFmtId="164" fontId="15" fillId="0" borderId="10" xfId="0" applyFont="1" applyFill="1" applyBorder="1" applyAlignment="1" applyProtection="1">
      <alignment horizontal="center" vertical="center" wrapText="1"/>
      <protection/>
    </xf>
    <xf numFmtId="164" fontId="15" fillId="0" borderId="10" xfId="0" applyFont="1" applyBorder="1" applyAlignment="1" applyProtection="1">
      <alignment horizontal="center" vertical="center" wrapText="1"/>
      <protection locked="0"/>
    </xf>
    <xf numFmtId="170" fontId="15" fillId="0" borderId="10" xfId="0" applyNumberFormat="1" applyFont="1" applyBorder="1" applyAlignment="1" applyProtection="1">
      <alignment horizontal="center" vertical="center" wrapText="1"/>
      <protection locked="0"/>
    </xf>
    <xf numFmtId="164" fontId="15" fillId="8" borderId="12" xfId="0" applyFont="1" applyFill="1" applyBorder="1" applyAlignment="1" applyProtection="1">
      <alignment horizontal="center" vertical="center" wrapText="1"/>
      <protection/>
    </xf>
    <xf numFmtId="167" fontId="15" fillId="0" borderId="10" xfId="0" applyNumberFormat="1" applyFont="1" applyFill="1" applyBorder="1" applyAlignment="1" applyProtection="1">
      <alignment horizontal="center" vertical="center" wrapText="1"/>
      <protection/>
    </xf>
    <xf numFmtId="168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/>
    </xf>
    <xf numFmtId="17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Font="1" applyFill="1" applyBorder="1" applyAlignment="1" applyProtection="1">
      <alignment horizontal="center" vertical="center" wrapTex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/>
    </xf>
    <xf numFmtId="168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Font="1" applyFill="1" applyBorder="1" applyAlignment="1" applyProtection="1">
      <alignment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10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15" applyFont="1" applyFill="1" applyBorder="1" applyAlignment="1" applyProtection="1">
      <alignment/>
      <protection/>
    </xf>
    <xf numFmtId="164" fontId="15" fillId="0" borderId="0" xfId="0" applyFont="1" applyFill="1" applyBorder="1" applyAlignment="1" applyProtection="1">
      <alignment wrapText="1"/>
      <protection/>
    </xf>
    <xf numFmtId="164" fontId="15" fillId="0" borderId="0" xfId="0" applyFont="1" applyFill="1" applyBorder="1" applyAlignment="1" applyProtection="1">
      <alignment/>
      <protection/>
    </xf>
    <xf numFmtId="164" fontId="29" fillId="0" borderId="0" xfId="0" applyFont="1" applyFill="1" applyBorder="1" applyAlignment="1" applyProtection="1">
      <alignment/>
      <protection/>
    </xf>
    <xf numFmtId="172" fontId="15" fillId="0" borderId="0" xfId="0" applyNumberFormat="1" applyFont="1" applyFill="1" applyBorder="1" applyAlignment="1" applyProtection="1">
      <alignment/>
      <protection/>
    </xf>
    <xf numFmtId="164" fontId="15" fillId="0" borderId="0" xfId="0" applyFont="1" applyFill="1" applyAlignment="1" applyProtection="1">
      <alignment horizontal="center"/>
      <protection/>
    </xf>
    <xf numFmtId="164" fontId="15" fillId="0" borderId="0" xfId="0" applyFont="1" applyFill="1" applyAlignment="1" applyProtection="1">
      <alignment/>
      <protection/>
    </xf>
    <xf numFmtId="164" fontId="30" fillId="0" borderId="10" xfId="72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/>
    </xf>
    <xf numFmtId="166" fontId="31" fillId="0" borderId="12" xfId="15" applyFont="1" applyFill="1" applyBorder="1" applyAlignment="1" applyProtection="1">
      <alignment horizontal="center" vertical="center" wrapText="1"/>
      <protection/>
    </xf>
    <xf numFmtId="164" fontId="31" fillId="0" borderId="12" xfId="72" applyFont="1" applyFill="1" applyBorder="1" applyAlignment="1" applyProtection="1">
      <alignment horizontal="center" vertical="center" wrapText="1"/>
      <protection/>
    </xf>
    <xf numFmtId="164" fontId="31" fillId="0" borderId="10" xfId="72" applyFont="1" applyFill="1" applyBorder="1" applyAlignment="1" applyProtection="1">
      <alignment horizontal="center" vertical="center"/>
      <protection/>
    </xf>
    <xf numFmtId="173" fontId="31" fillId="0" borderId="12" xfId="72" applyNumberFormat="1" applyFont="1" applyFill="1" applyBorder="1" applyAlignment="1" applyProtection="1">
      <alignment horizontal="center" vertical="center" wrapText="1"/>
      <protection/>
    </xf>
    <xf numFmtId="164" fontId="31" fillId="0" borderId="10" xfId="72" applyFont="1" applyFill="1" applyBorder="1" applyAlignment="1" applyProtection="1">
      <alignment horizontal="center" vertical="center" wrapText="1"/>
      <protection locked="0"/>
    </xf>
    <xf numFmtId="164" fontId="31" fillId="0" borderId="12" xfId="72" applyFont="1" applyFill="1" applyBorder="1" applyAlignment="1" applyProtection="1">
      <alignment horizontal="center" vertical="center" wrapText="1"/>
      <protection locked="0"/>
    </xf>
    <xf numFmtId="164" fontId="31" fillId="0" borderId="12" xfId="72" applyFont="1" applyFill="1" applyBorder="1" applyAlignment="1" applyProtection="1">
      <alignment horizontal="center" vertical="center"/>
      <protection/>
    </xf>
    <xf numFmtId="173" fontId="31" fillId="0" borderId="12" xfId="72" applyNumberFormat="1" applyFont="1" applyFill="1" applyBorder="1" applyAlignment="1" applyProtection="1">
      <alignment horizontal="center" vertical="center" wrapText="1"/>
      <protection locked="0"/>
    </xf>
    <xf numFmtId="172" fontId="31" fillId="0" borderId="12" xfId="72" applyNumberFormat="1" applyFont="1" applyFill="1" applyBorder="1" applyAlignment="1" applyProtection="1">
      <alignment horizontal="center" vertical="center" wrapText="1"/>
      <protection locked="0"/>
    </xf>
    <xf numFmtId="164" fontId="32" fillId="0" borderId="10" xfId="72" applyFont="1" applyFill="1" applyBorder="1" applyAlignment="1">
      <alignment wrapText="1"/>
      <protection/>
    </xf>
    <xf numFmtId="172" fontId="32" fillId="0" borderId="12" xfId="72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72" applyFont="1" applyFill="1" applyBorder="1" applyAlignment="1" applyProtection="1">
      <alignment horizontal="left" vertical="center" wrapText="1"/>
      <protection/>
    </xf>
    <xf numFmtId="164" fontId="33" fillId="0" borderId="0" xfId="0" applyFont="1" applyFill="1" applyAlignment="1" applyProtection="1">
      <alignment/>
      <protection/>
    </xf>
    <xf numFmtId="164" fontId="31" fillId="0" borderId="10" xfId="15" applyNumberFormat="1" applyFont="1" applyFill="1" applyBorder="1" applyAlignment="1" applyProtection="1">
      <alignment horizontal="center"/>
      <protection/>
    </xf>
    <xf numFmtId="174" fontId="31" fillId="0" borderId="10" xfId="84" applyNumberFormat="1" applyFont="1" applyFill="1" applyBorder="1" applyAlignment="1" applyProtection="1">
      <alignment horizontal="center" wrapText="1"/>
      <protection/>
    </xf>
    <xf numFmtId="164" fontId="32" fillId="0" borderId="10" xfId="72" applyFont="1" applyFill="1" applyBorder="1" applyAlignment="1">
      <alignment/>
      <protection/>
    </xf>
    <xf numFmtId="173" fontId="32" fillId="0" borderId="10" xfId="72" applyNumberFormat="1" applyFont="1" applyFill="1" applyBorder="1" applyAlignment="1">
      <alignment horizontal="center" vertical="center"/>
      <protection/>
    </xf>
    <xf numFmtId="172" fontId="32" fillId="0" borderId="10" xfId="72" applyNumberFormat="1" applyFont="1" applyFill="1" applyBorder="1" applyAlignment="1">
      <alignment horizontal="center" vertical="center"/>
      <protection/>
    </xf>
    <xf numFmtId="164" fontId="31" fillId="0" borderId="10" xfId="0" applyFont="1" applyFill="1" applyBorder="1" applyAlignment="1" applyProtection="1">
      <alignment horizontal="center"/>
      <protection/>
    </xf>
    <xf numFmtId="164" fontId="31" fillId="0" borderId="10" xfId="0" applyFont="1" applyFill="1" applyBorder="1" applyAlignment="1" applyProtection="1">
      <alignment/>
      <protection/>
    </xf>
    <xf numFmtId="174" fontId="31" fillId="0" borderId="10" xfId="72" applyNumberFormat="1" applyFont="1" applyFill="1" applyBorder="1" applyAlignment="1" applyProtection="1">
      <alignment horizontal="center" vertical="center" wrapText="1"/>
      <protection/>
    </xf>
    <xf numFmtId="164" fontId="32" fillId="0" borderId="10" xfId="71" applyFont="1" applyFill="1" applyBorder="1" applyAlignment="1">
      <alignment wrapText="1"/>
      <protection/>
    </xf>
    <xf numFmtId="164" fontId="32" fillId="0" borderId="10" xfId="0" applyFont="1" applyFill="1" applyBorder="1" applyAlignment="1">
      <alignment/>
    </xf>
    <xf numFmtId="173" fontId="31" fillId="0" borderId="10" xfId="72" applyNumberFormat="1" applyFont="1" applyFill="1" applyBorder="1" applyAlignment="1">
      <alignment horizontal="center" vertical="center"/>
      <protection/>
    </xf>
    <xf numFmtId="172" fontId="31" fillId="0" borderId="10" xfId="72" applyNumberFormat="1" applyFont="1" applyFill="1" applyBorder="1" applyAlignment="1">
      <alignment horizontal="center" vertical="center"/>
      <protection/>
    </xf>
    <xf numFmtId="174" fontId="31" fillId="0" borderId="12" xfId="15" applyNumberFormat="1" applyFont="1" applyFill="1" applyBorder="1" applyAlignment="1" applyProtection="1">
      <alignment horizontal="center" vertical="center" wrapText="1"/>
      <protection/>
    </xf>
    <xf numFmtId="164" fontId="30" fillId="0" borderId="10" xfId="71" applyFont="1" applyFill="1" applyBorder="1" applyAlignment="1">
      <alignment wrapText="1"/>
      <protection/>
    </xf>
    <xf numFmtId="164" fontId="31" fillId="0" borderId="10" xfId="72" applyFont="1" applyFill="1" applyBorder="1" applyAlignment="1">
      <alignment/>
      <protection/>
    </xf>
    <xf numFmtId="164" fontId="30" fillId="0" borderId="10" xfId="0" applyFont="1" applyFill="1" applyBorder="1" applyAlignment="1">
      <alignment horizontal="center"/>
    </xf>
    <xf numFmtId="172" fontId="31" fillId="0" borderId="10" xfId="0" applyNumberFormat="1" applyFont="1" applyFill="1" applyBorder="1" applyAlignment="1">
      <alignment horizontal="center" vertical="center" wrapText="1"/>
    </xf>
    <xf numFmtId="164" fontId="31" fillId="0" borderId="10" xfId="71" applyFont="1" applyFill="1" applyBorder="1" applyAlignment="1">
      <alignment/>
      <protection/>
    </xf>
    <xf numFmtId="164" fontId="32" fillId="0" borderId="10" xfId="71" applyFont="1" applyFill="1" applyBorder="1" applyAlignment="1">
      <alignment/>
      <protection/>
    </xf>
    <xf numFmtId="164" fontId="34" fillId="0" borderId="10" xfId="71" applyFont="1" applyFill="1" applyBorder="1" applyAlignment="1">
      <alignment wrapText="1"/>
      <protection/>
    </xf>
    <xf numFmtId="173" fontId="31" fillId="0" borderId="10" xfId="71" applyNumberFormat="1" applyFont="1" applyFill="1" applyBorder="1" applyAlignment="1">
      <alignment horizontal="center" vertical="center"/>
      <protection/>
    </xf>
    <xf numFmtId="164" fontId="34" fillId="0" borderId="10" xfId="72" applyFont="1" applyFill="1" applyBorder="1" applyAlignment="1">
      <alignment wrapText="1"/>
      <protection/>
    </xf>
    <xf numFmtId="164" fontId="32" fillId="0" borderId="10" xfId="72" applyFont="1" applyFill="1" applyBorder="1" applyProtection="1">
      <alignment/>
      <protection/>
    </xf>
    <xf numFmtId="164" fontId="32" fillId="0" borderId="10" xfId="72" applyFont="1" applyFill="1" applyBorder="1" applyAlignment="1" applyProtection="1">
      <alignment/>
      <protection/>
    </xf>
    <xf numFmtId="164" fontId="32" fillId="0" borderId="10" xfId="84" applyFont="1" applyFill="1" applyBorder="1">
      <alignment/>
      <protection/>
    </xf>
    <xf numFmtId="164" fontId="32" fillId="0" borderId="10" xfId="84" applyFont="1" applyFill="1" applyBorder="1" applyAlignment="1">
      <alignment/>
      <protection/>
    </xf>
    <xf numFmtId="173" fontId="31" fillId="0" borderId="10" xfId="84" applyNumberFormat="1" applyFont="1" applyFill="1" applyBorder="1" applyAlignment="1">
      <alignment horizontal="center" vertical="center"/>
      <protection/>
    </xf>
    <xf numFmtId="164" fontId="31" fillId="0" borderId="10" xfId="84" applyFont="1" applyFill="1" applyBorder="1" applyAlignment="1">
      <alignment/>
      <protection/>
    </xf>
    <xf numFmtId="173" fontId="31" fillId="0" borderId="10" xfId="72" applyNumberFormat="1" applyFont="1" applyFill="1" applyBorder="1" applyAlignment="1" applyProtection="1">
      <alignment horizontal="center" vertical="center" wrapText="1"/>
      <protection/>
    </xf>
    <xf numFmtId="164" fontId="31" fillId="0" borderId="10" xfId="84" applyFont="1" applyFill="1" applyBorder="1" applyAlignment="1">
      <alignment wrapText="1"/>
      <protection/>
    </xf>
    <xf numFmtId="164" fontId="31" fillId="0" borderId="10" xfId="0" applyFont="1" applyFill="1" applyBorder="1" applyAlignment="1">
      <alignment/>
    </xf>
    <xf numFmtId="174" fontId="31" fillId="0" borderId="10" xfId="84" applyNumberFormat="1" applyFont="1" applyFill="1" applyBorder="1" applyAlignment="1" applyProtection="1">
      <alignment horizontal="center" vertical="center" wrapText="1"/>
      <protection/>
    </xf>
    <xf numFmtId="171" fontId="32" fillId="0" borderId="10" xfId="84" applyNumberFormat="1" applyFont="1" applyFill="1" applyBorder="1" applyAlignment="1" applyProtection="1">
      <alignment horizontal="left" vertical="center" wrapText="1"/>
      <protection/>
    </xf>
    <xf numFmtId="171" fontId="32" fillId="0" borderId="10" xfId="84" applyNumberFormat="1" applyFont="1" applyFill="1" applyBorder="1" applyAlignment="1" applyProtection="1">
      <alignment horizontal="left" vertical="center"/>
      <protection/>
    </xf>
    <xf numFmtId="173" fontId="32" fillId="0" borderId="10" xfId="84" applyNumberFormat="1" applyFont="1" applyFill="1" applyBorder="1" applyAlignment="1" applyProtection="1">
      <alignment horizontal="center" vertical="center"/>
      <protection/>
    </xf>
    <xf numFmtId="174" fontId="32" fillId="0" borderId="10" xfId="84" applyNumberFormat="1" applyFont="1" applyFill="1" applyBorder="1" applyAlignment="1" applyProtection="1">
      <alignment horizontal="center" vertical="center" wrapText="1"/>
      <protection/>
    </xf>
    <xf numFmtId="173" fontId="32" fillId="0" borderId="10" xfId="84" applyNumberFormat="1" applyFont="1" applyFill="1" applyBorder="1" applyAlignment="1" applyProtection="1">
      <alignment horizontal="center" vertical="center" wrapText="1"/>
      <protection locked="0"/>
    </xf>
    <xf numFmtId="173" fontId="31" fillId="0" borderId="10" xfId="84" applyNumberFormat="1" applyFont="1" applyFill="1" applyBorder="1" applyAlignment="1">
      <alignment horizontal="center" vertical="center" wrapText="1"/>
      <protection/>
    </xf>
    <xf numFmtId="164" fontId="31" fillId="0" borderId="10" xfId="71" applyFont="1" applyFill="1" applyBorder="1" applyAlignment="1">
      <alignment wrapText="1"/>
      <protection/>
    </xf>
    <xf numFmtId="173" fontId="31" fillId="0" borderId="10" xfId="69" applyNumberFormat="1" applyFont="1" applyFill="1" applyBorder="1" applyAlignment="1">
      <alignment horizontal="center" vertical="center"/>
      <protection/>
    </xf>
    <xf numFmtId="164" fontId="30" fillId="0" borderId="10" xfId="71" applyFont="1" applyFill="1" applyBorder="1" applyAlignment="1">
      <alignment horizontal="justify" wrapText="1"/>
      <protection/>
    </xf>
    <xf numFmtId="164" fontId="31" fillId="0" borderId="10" xfId="72" applyFont="1" applyFill="1" applyBorder="1" applyAlignment="1">
      <alignment wrapText="1"/>
      <protection/>
    </xf>
    <xf numFmtId="174" fontId="32" fillId="0" borderId="10" xfId="72" applyNumberFormat="1" applyFont="1" applyFill="1" applyBorder="1" applyAlignment="1" applyProtection="1">
      <alignment horizontal="center" vertical="center" wrapText="1"/>
      <protection/>
    </xf>
    <xf numFmtId="164" fontId="32" fillId="0" borderId="10" xfId="72" applyFont="1" applyFill="1" applyBorder="1" applyAlignment="1" applyProtection="1">
      <alignment wrapText="1"/>
      <protection/>
    </xf>
    <xf numFmtId="170" fontId="35" fillId="0" borderId="10" xfId="69" applyNumberFormat="1" applyFont="1" applyFill="1" applyBorder="1" applyAlignment="1">
      <alignment horizontal="left" vertical="center" wrapText="1"/>
      <protection/>
    </xf>
    <xf numFmtId="167" fontId="35" fillId="0" borderId="10" xfId="69" applyNumberFormat="1" applyFont="1" applyFill="1" applyBorder="1" applyAlignment="1">
      <alignment horizontal="center" vertical="center" wrapText="1"/>
      <protection/>
    </xf>
    <xf numFmtId="167" fontId="35" fillId="0" borderId="10" xfId="69" applyNumberFormat="1" applyFont="1" applyFill="1" applyBorder="1" applyAlignment="1">
      <alignment horizontal="center" vertical="center"/>
      <protection/>
    </xf>
    <xf numFmtId="167" fontId="35" fillId="24" borderId="10" xfId="69" applyNumberFormat="1" applyFont="1" applyFill="1" applyBorder="1" applyAlignment="1">
      <alignment horizontal="center" vertical="center" wrapText="1"/>
      <protection/>
    </xf>
    <xf numFmtId="167" fontId="35" fillId="24" borderId="10" xfId="69" applyNumberFormat="1" applyFont="1" applyFill="1" applyBorder="1" applyAlignment="1">
      <alignment horizontal="center" vertical="center"/>
      <protection/>
    </xf>
    <xf numFmtId="164" fontId="35" fillId="0" borderId="10" xfId="69" applyFont="1" applyFill="1" applyBorder="1" applyAlignment="1">
      <alignment horizontal="left" vertical="center" wrapText="1"/>
      <protection/>
    </xf>
    <xf numFmtId="173" fontId="27" fillId="0" borderId="10" xfId="72" applyNumberFormat="1" applyFont="1" applyFill="1" applyBorder="1" applyAlignment="1">
      <alignment horizontal="center" vertical="center"/>
      <protection/>
    </xf>
    <xf numFmtId="164" fontId="35" fillId="0" borderId="10" xfId="69" applyFont="1" applyFill="1" applyBorder="1" applyAlignment="1">
      <alignment horizontal="left" vertical="center" wrapText="1"/>
      <protection/>
    </xf>
    <xf numFmtId="164" fontId="32" fillId="0" borderId="10" xfId="72" applyFont="1" applyFill="1" applyBorder="1" applyAlignment="1">
      <alignment horizontal="left"/>
      <protection/>
    </xf>
    <xf numFmtId="164" fontId="31" fillId="0" borderId="10" xfId="69" applyFont="1" applyFill="1" applyBorder="1" applyAlignment="1">
      <alignment horizontal="left" vertical="center"/>
      <protection/>
    </xf>
    <xf numFmtId="167" fontId="31" fillId="0" borderId="10" xfId="69" applyNumberFormat="1" applyFont="1" applyFill="1" applyBorder="1" applyAlignment="1">
      <alignment horizontal="center" vertical="center"/>
      <protection/>
    </xf>
    <xf numFmtId="166" fontId="31" fillId="0" borderId="10" xfId="15" applyFont="1" applyFill="1" applyBorder="1" applyAlignment="1" applyProtection="1">
      <alignment/>
      <protection/>
    </xf>
    <xf numFmtId="164" fontId="15" fillId="8" borderId="10" xfId="0" applyFont="1" applyFill="1" applyBorder="1" applyAlignment="1" applyProtection="1">
      <alignment horizontal="center" vertical="center" wrapText="1"/>
      <protection/>
    </xf>
    <xf numFmtId="164" fontId="15" fillId="0" borderId="10" xfId="0" applyFont="1" applyFill="1" applyBorder="1" applyAlignment="1" applyProtection="1">
      <alignment vertical="center" wrapText="1"/>
      <protection/>
    </xf>
    <xf numFmtId="164" fontId="15" fillId="0" borderId="10" xfId="0" applyFont="1" applyFill="1" applyBorder="1" applyAlignment="1" applyProtection="1">
      <alignment horizontal="left" vertical="center" wrapText="1"/>
      <protection/>
    </xf>
    <xf numFmtId="164" fontId="36" fillId="0" borderId="10" xfId="0" applyFont="1" applyFill="1" applyBorder="1" applyAlignment="1" applyProtection="1">
      <alignment horizontal="center" vertical="center" wrapText="1"/>
      <protection/>
    </xf>
    <xf numFmtId="164" fontId="37" fillId="0" borderId="10" xfId="0" applyFont="1" applyFill="1" applyBorder="1" applyAlignment="1" applyProtection="1">
      <alignment horizontal="center" vertical="center" wrapText="1"/>
      <protection/>
    </xf>
    <xf numFmtId="175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5" fillId="0" borderId="10" xfId="0" applyNumberFormat="1" applyFont="1" applyBorder="1" applyAlignment="1" applyProtection="1">
      <alignment horizontal="center" vertical="center" wrapText="1"/>
      <protection locked="0"/>
    </xf>
    <xf numFmtId="174" fontId="0" fillId="0" borderId="0" xfId="0" applyNumberFormat="1" applyAlignment="1">
      <alignment/>
    </xf>
    <xf numFmtId="164" fontId="30" fillId="0" borderId="10" xfId="0" applyFont="1" applyFill="1" applyBorder="1" applyAlignment="1">
      <alignment horizontal="center" vertical="center"/>
    </xf>
    <xf numFmtId="174" fontId="38" fillId="0" borderId="10" xfId="0" applyNumberFormat="1" applyFont="1" applyFill="1" applyBorder="1" applyAlignment="1">
      <alignment horizontal="center" vertical="center" wrapText="1"/>
    </xf>
    <xf numFmtId="164" fontId="38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/>
    </xf>
    <xf numFmtId="174" fontId="38" fillId="0" borderId="10" xfId="0" applyNumberFormat="1" applyFont="1" applyFill="1" applyBorder="1" applyAlignment="1">
      <alignment horizontal="center" vertical="center"/>
    </xf>
    <xf numFmtId="164" fontId="38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74" fontId="38" fillId="0" borderId="10" xfId="0" applyNumberFormat="1" applyFont="1" applyFill="1" applyBorder="1" applyAlignment="1">
      <alignment/>
    </xf>
    <xf numFmtId="164" fontId="38" fillId="0" borderId="10" xfId="0" applyFont="1" applyFill="1" applyBorder="1" applyAlignment="1">
      <alignment horizontal="center" wrapText="1"/>
    </xf>
    <xf numFmtId="167" fontId="38" fillId="0" borderId="10" xfId="0" applyNumberFormat="1" applyFont="1" applyFill="1" applyBorder="1" applyAlignment="1">
      <alignment/>
    </xf>
    <xf numFmtId="164" fontId="0" fillId="0" borderId="10" xfId="0" applyBorder="1" applyAlignment="1">
      <alignment/>
    </xf>
    <xf numFmtId="167" fontId="23" fillId="0" borderId="10" xfId="0" applyNumberFormat="1" applyFont="1" applyFill="1" applyBorder="1" applyAlignment="1">
      <alignment/>
    </xf>
    <xf numFmtId="174" fontId="38" fillId="10" borderId="10" xfId="0" applyNumberFormat="1" applyFont="1" applyFill="1" applyBorder="1" applyAlignment="1">
      <alignment/>
    </xf>
    <xf numFmtId="164" fontId="38" fillId="10" borderId="10" xfId="0" applyFont="1" applyFill="1" applyBorder="1" applyAlignment="1">
      <alignment horizontal="center" wrapText="1"/>
    </xf>
    <xf numFmtId="164" fontId="38" fillId="10" borderId="10" xfId="0" applyFont="1" applyFill="1" applyBorder="1" applyAlignment="1">
      <alignment horizontal="center" vertical="center"/>
    </xf>
    <xf numFmtId="167" fontId="38" fillId="10" borderId="10" xfId="0" applyNumberFormat="1" applyFont="1" applyFill="1" applyBorder="1" applyAlignment="1">
      <alignment/>
    </xf>
    <xf numFmtId="167" fontId="0" fillId="10" borderId="10" xfId="0" applyNumberFormat="1" applyFill="1" applyBorder="1" applyAlignment="1">
      <alignment/>
    </xf>
    <xf numFmtId="167" fontId="23" fillId="10" borderId="10" xfId="0" applyNumberFormat="1" applyFont="1" applyFill="1" applyBorder="1" applyAlignment="1">
      <alignment/>
    </xf>
    <xf numFmtId="174" fontId="38" fillId="25" borderId="10" xfId="0" applyNumberFormat="1" applyFont="1" applyFill="1" applyBorder="1" applyAlignment="1">
      <alignment/>
    </xf>
    <xf numFmtId="164" fontId="38" fillId="25" borderId="10" xfId="0" applyFont="1" applyFill="1" applyBorder="1" applyAlignment="1">
      <alignment horizontal="center" wrapText="1"/>
    </xf>
    <xf numFmtId="164" fontId="38" fillId="25" borderId="10" xfId="0" applyFont="1" applyFill="1" applyBorder="1" applyAlignment="1">
      <alignment horizontal="center" vertical="center"/>
    </xf>
    <xf numFmtId="167" fontId="38" fillId="25" borderId="10" xfId="0" applyNumberFormat="1" applyFont="1" applyFill="1" applyBorder="1" applyAlignment="1">
      <alignment/>
    </xf>
    <xf numFmtId="167" fontId="0" fillId="25" borderId="10" xfId="0" applyNumberFormat="1" applyFill="1" applyBorder="1" applyAlignment="1">
      <alignment/>
    </xf>
    <xf numFmtId="167" fontId="23" fillId="25" borderId="1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164" fontId="24" fillId="0" borderId="10" xfId="0" applyFont="1" applyBorder="1" applyAlignment="1">
      <alignment horizontal="center"/>
    </xf>
    <xf numFmtId="176" fontId="23" fillId="0" borderId="10" xfId="0" applyNumberFormat="1" applyFont="1" applyBorder="1" applyAlignment="1">
      <alignment/>
    </xf>
    <xf numFmtId="167" fontId="23" fillId="0" borderId="10" xfId="0" applyNumberFormat="1" applyFont="1" applyBorder="1" applyAlignment="1">
      <alignment/>
    </xf>
    <xf numFmtId="167" fontId="39" fillId="0" borderId="10" xfId="0" applyNumberFormat="1" applyFont="1" applyFill="1" applyBorder="1" applyAlignment="1">
      <alignment/>
    </xf>
    <xf numFmtId="174" fontId="38" fillId="0" borderId="0" xfId="0" applyNumberFormat="1" applyFont="1" applyBorder="1" applyAlignment="1">
      <alignment/>
    </xf>
    <xf numFmtId="164" fontId="38" fillId="0" borderId="0" xfId="0" applyFont="1" applyBorder="1" applyAlignment="1">
      <alignment horizontal="center" wrapText="1"/>
    </xf>
    <xf numFmtId="164" fontId="38" fillId="0" borderId="12" xfId="0" applyFont="1" applyBorder="1" applyAlignment="1">
      <alignment horizontal="right" vertical="center"/>
    </xf>
    <xf numFmtId="164" fontId="38" fillId="0" borderId="10" xfId="0" applyFont="1" applyBorder="1" applyAlignment="1">
      <alignment/>
    </xf>
    <xf numFmtId="167" fontId="38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4" fontId="38" fillId="0" borderId="0" xfId="0" applyFont="1" applyBorder="1" applyAlignment="1">
      <alignment horizontal="center" vertical="center"/>
    </xf>
    <xf numFmtId="164" fontId="38" fillId="0" borderId="13" xfId="0" applyFont="1" applyBorder="1" applyAlignment="1">
      <alignment/>
    </xf>
    <xf numFmtId="164" fontId="2" fillId="0" borderId="0" xfId="0" applyFont="1" applyBorder="1" applyAlignment="1">
      <alignment/>
    </xf>
    <xf numFmtId="164" fontId="38" fillId="0" borderId="0" xfId="0" applyFont="1" applyBorder="1" applyAlignment="1">
      <alignment/>
    </xf>
    <xf numFmtId="167" fontId="38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74" fontId="23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40" fillId="0" borderId="0" xfId="68" applyFont="1" applyBorder="1" applyAlignment="1" applyProtection="1">
      <alignment horizontal="left"/>
      <protection hidden="1"/>
    </xf>
    <xf numFmtId="164" fontId="23" fillId="0" borderId="0" xfId="0" applyFont="1" applyAlignment="1">
      <alignment horizontal="center"/>
    </xf>
    <xf numFmtId="164" fontId="38" fillId="0" borderId="0" xfId="68" applyFont="1" applyProtection="1">
      <alignment/>
      <protection hidden="1"/>
    </xf>
    <xf numFmtId="164" fontId="38" fillId="0" borderId="0" xfId="0" applyFont="1" applyAlignment="1">
      <alignment/>
    </xf>
    <xf numFmtId="164" fontId="23" fillId="0" borderId="0" xfId="68" applyFont="1" applyProtection="1">
      <alignment/>
      <protection hidden="1"/>
    </xf>
    <xf numFmtId="164" fontId="23" fillId="0" borderId="0" xfId="68" applyFont="1" applyBorder="1" applyAlignment="1" applyProtection="1">
      <alignment horizontal="left"/>
      <protection hidden="1"/>
    </xf>
    <xf numFmtId="164" fontId="23" fillId="0" borderId="0" xfId="68" applyFont="1" applyAlignment="1" applyProtection="1">
      <alignment horizontal="left"/>
      <protection hidden="1"/>
    </xf>
    <xf numFmtId="164" fontId="23" fillId="0" borderId="0" xfId="68" applyFont="1" applyAlignment="1" applyProtection="1">
      <alignment horizontal="left" indent="3"/>
      <protection hidden="1"/>
    </xf>
    <xf numFmtId="164" fontId="25" fillId="0" borderId="10" xfId="0" applyFont="1" applyFill="1" applyBorder="1" applyAlignment="1" applyProtection="1">
      <alignment horizontal="center" vertical="center" wrapText="1"/>
      <protection/>
    </xf>
    <xf numFmtId="171" fontId="1" fillId="0" borderId="10" xfId="69" applyNumberFormat="1" applyFont="1" applyFill="1" applyBorder="1" applyAlignment="1">
      <alignment horizontal="center" vertical="center"/>
      <protection/>
    </xf>
    <xf numFmtId="164" fontId="28" fillId="8" borderId="14" xfId="0" applyFont="1" applyFill="1" applyBorder="1" applyAlignment="1" applyProtection="1">
      <alignment horizontal="center" vertical="center" wrapText="1"/>
      <protection/>
    </xf>
    <xf numFmtId="164" fontId="15" fillId="0" borderId="15" xfId="0" applyFont="1" applyBorder="1" applyAlignment="1" applyProtection="1">
      <alignment horizontal="center" vertical="center" wrapText="1"/>
      <protection/>
    </xf>
    <xf numFmtId="164" fontId="15" fillId="8" borderId="16" xfId="0" applyFont="1" applyFill="1" applyBorder="1" applyAlignment="1" applyProtection="1">
      <alignment horizontal="center" vertical="center" wrapText="1"/>
      <protection/>
    </xf>
    <xf numFmtId="164" fontId="15" fillId="8" borderId="15" xfId="0" applyFont="1" applyFill="1" applyBorder="1" applyAlignment="1" applyProtection="1">
      <alignment horizontal="center" vertical="center" wrapText="1"/>
      <protection/>
    </xf>
    <xf numFmtId="171" fontId="15" fillId="22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22" borderId="10" xfId="0" applyFont="1" applyFill="1" applyBorder="1" applyAlignment="1" applyProtection="1">
      <alignment horizontal="center" vertical="center" wrapText="1"/>
      <protection locked="0"/>
    </xf>
    <xf numFmtId="167" fontId="15" fillId="22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Font="1" applyFill="1" applyBorder="1" applyAlignment="1" applyProtection="1">
      <alignment horizontal="center" vertical="center" wrapText="1"/>
      <protection/>
    </xf>
    <xf numFmtId="171" fontId="1" fillId="22" borderId="10" xfId="69" applyNumberFormat="1" applyFont="1" applyFill="1" applyBorder="1" applyAlignment="1">
      <alignment horizontal="center" vertical="center"/>
      <protection/>
    </xf>
    <xf numFmtId="164" fontId="25" fillId="0" borderId="10" xfId="0" applyFont="1" applyBorder="1" applyAlignment="1" applyProtection="1">
      <alignment horizontal="center" vertical="center" wrapText="1"/>
      <protection/>
    </xf>
    <xf numFmtId="177" fontId="15" fillId="0" borderId="10" xfId="0" applyNumberFormat="1" applyFont="1" applyBorder="1" applyAlignment="1" applyProtection="1">
      <alignment horizontal="center" vertical="center" wrapText="1"/>
      <protection/>
    </xf>
    <xf numFmtId="168" fontId="15" fillId="0" borderId="10" xfId="0" applyNumberFormat="1" applyFont="1" applyBorder="1" applyAlignment="1" applyProtection="1">
      <alignment horizontal="center" vertical="center" wrapText="1"/>
      <protection/>
    </xf>
    <xf numFmtId="167" fontId="15" fillId="22" borderId="10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>
      <alignment/>
    </xf>
    <xf numFmtId="164" fontId="0" fillId="0" borderId="17" xfId="0" applyFill="1" applyBorder="1" applyAlignment="1">
      <alignment/>
    </xf>
    <xf numFmtId="164" fontId="41" fillId="0" borderId="10" xfId="0" applyFont="1" applyFill="1" applyBorder="1" applyAlignment="1">
      <alignment horizontal="center" vertical="center"/>
    </xf>
    <xf numFmtId="164" fontId="25" fillId="0" borderId="0" xfId="0" applyFont="1" applyFill="1" applyAlignment="1">
      <alignment/>
    </xf>
    <xf numFmtId="174" fontId="38" fillId="0" borderId="10" xfId="0" applyNumberFormat="1" applyFont="1" applyFill="1" applyBorder="1" applyAlignment="1">
      <alignment horizontal="center"/>
    </xf>
    <xf numFmtId="174" fontId="38" fillId="0" borderId="12" xfId="0" applyNumberFormat="1" applyFont="1" applyFill="1" applyBorder="1" applyAlignment="1">
      <alignment horizontal="left"/>
    </xf>
    <xf numFmtId="164" fontId="40" fillId="0" borderId="12" xfId="0" applyFont="1" applyFill="1" applyBorder="1" applyAlignment="1">
      <alignment horizontal="left" wrapText="1"/>
    </xf>
    <xf numFmtId="174" fontId="38" fillId="0" borderId="10" xfId="0" applyNumberFormat="1" applyFont="1" applyFill="1" applyBorder="1" applyAlignment="1">
      <alignment horizontal="left"/>
    </xf>
    <xf numFmtId="164" fontId="38" fillId="0" borderId="10" xfId="0" applyFont="1" applyFill="1" applyBorder="1" applyAlignment="1">
      <alignment horizontal="center"/>
    </xf>
    <xf numFmtId="167" fontId="38" fillId="0" borderId="10" xfId="0" applyNumberFormat="1" applyFont="1" applyFill="1" applyBorder="1" applyAlignment="1">
      <alignment/>
    </xf>
    <xf numFmtId="167" fontId="38" fillId="0" borderId="10" xfId="0" applyNumberFormat="1" applyFont="1" applyFill="1" applyBorder="1" applyAlignment="1">
      <alignment horizontal="center" wrapText="1"/>
    </xf>
    <xf numFmtId="164" fontId="38" fillId="0" borderId="10" xfId="0" applyFont="1" applyFill="1" applyBorder="1" applyAlignment="1">
      <alignment/>
    </xf>
    <xf numFmtId="167" fontId="38" fillId="0" borderId="10" xfId="0" applyNumberFormat="1" applyFont="1" applyFill="1" applyBorder="1" applyAlignment="1">
      <alignment horizontal="center" wrapText="1"/>
    </xf>
    <xf numFmtId="164" fontId="38" fillId="0" borderId="0" xfId="0" applyFont="1" applyFill="1" applyAlignment="1">
      <alignment/>
    </xf>
    <xf numFmtId="164" fontId="40" fillId="0" borderId="10" xfId="0" applyFont="1" applyFill="1" applyBorder="1" applyAlignment="1">
      <alignment horizontal="left" wrapText="1"/>
    </xf>
    <xf numFmtId="164" fontId="40" fillId="0" borderId="10" xfId="0" applyFont="1" applyFill="1" applyBorder="1" applyAlignment="1">
      <alignment horizontal="left"/>
    </xf>
    <xf numFmtId="164" fontId="38" fillId="0" borderId="10" xfId="0" applyFont="1" applyFill="1" applyBorder="1" applyAlignment="1">
      <alignment horizontal="left" wrapText="1"/>
    </xf>
    <xf numFmtId="167" fontId="38" fillId="0" borderId="10" xfId="0" applyNumberFormat="1" applyFont="1" applyFill="1" applyBorder="1" applyAlignment="1">
      <alignment horizontal="center"/>
    </xf>
    <xf numFmtId="164" fontId="38" fillId="0" borderId="10" xfId="0" applyFont="1" applyFill="1" applyBorder="1" applyAlignment="1">
      <alignment horizontal="left"/>
    </xf>
    <xf numFmtId="164" fontId="38" fillId="0" borderId="10" xfId="0" applyFont="1" applyFill="1" applyBorder="1" applyAlignment="1">
      <alignment/>
    </xf>
    <xf numFmtId="164" fontId="40" fillId="0" borderId="10" xfId="0" applyFont="1" applyFill="1" applyBorder="1" applyAlignment="1">
      <alignment horizontal="center"/>
    </xf>
    <xf numFmtId="176" fontId="38" fillId="0" borderId="10" xfId="0" applyNumberFormat="1" applyFont="1" applyFill="1" applyBorder="1" applyAlignment="1">
      <alignment horizontal="center"/>
    </xf>
    <xf numFmtId="167" fontId="42" fillId="24" borderId="10" xfId="0" applyNumberFormat="1" applyFont="1" applyFill="1" applyBorder="1" applyAlignment="1">
      <alignment horizontal="center" wrapText="1"/>
    </xf>
    <xf numFmtId="167" fontId="38" fillId="0" borderId="10" xfId="0" applyNumberFormat="1" applyFont="1" applyFill="1" applyBorder="1" applyAlignment="1">
      <alignment horizontal="center"/>
    </xf>
    <xf numFmtId="167" fontId="38" fillId="0" borderId="10" xfId="0" applyNumberFormat="1" applyFont="1" applyFill="1" applyBorder="1" applyAlignment="1">
      <alignment horizontal="left"/>
    </xf>
    <xf numFmtId="174" fontId="38" fillId="0" borderId="0" xfId="0" applyNumberFormat="1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8" fillId="0" borderId="13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38" fillId="0" borderId="0" xfId="0" applyFont="1" applyFill="1" applyBorder="1" applyAlignment="1">
      <alignment horizontal="left"/>
    </xf>
    <xf numFmtId="164" fontId="43" fillId="0" borderId="0" xfId="0" applyFont="1" applyFill="1" applyBorder="1" applyAlignment="1">
      <alignment horizontal="left"/>
    </xf>
    <xf numFmtId="164" fontId="40" fillId="0" borderId="0" xfId="68" applyFont="1" applyFill="1" applyBorder="1" applyAlignment="1" applyProtection="1">
      <alignment horizontal="left"/>
      <protection hidden="1"/>
    </xf>
    <xf numFmtId="164" fontId="38" fillId="0" borderId="0" xfId="0" applyFont="1" applyFill="1" applyBorder="1" applyAlignment="1">
      <alignment/>
    </xf>
    <xf numFmtId="164" fontId="38" fillId="0" borderId="0" xfId="0" applyFont="1" applyFill="1" applyAlignment="1">
      <alignment/>
    </xf>
    <xf numFmtId="164" fontId="38" fillId="0" borderId="0" xfId="0" applyFont="1" applyFill="1" applyAlignment="1">
      <alignment horizontal="center"/>
    </xf>
    <xf numFmtId="164" fontId="43" fillId="0" borderId="0" xfId="0" applyFont="1" applyFill="1" applyAlignment="1">
      <alignment/>
    </xf>
    <xf numFmtId="164" fontId="38" fillId="0" borderId="0" xfId="68" applyFont="1" applyFill="1" applyProtection="1">
      <alignment/>
      <protection hidden="1"/>
    </xf>
    <xf numFmtId="164" fontId="38" fillId="0" borderId="0" xfId="68" applyFont="1" applyFill="1" applyBorder="1" applyAlignment="1" applyProtection="1">
      <alignment horizontal="left"/>
      <protection hidden="1"/>
    </xf>
    <xf numFmtId="164" fontId="38" fillId="0" borderId="0" xfId="68" applyFont="1" applyFill="1" applyAlignment="1" applyProtection="1">
      <alignment horizontal="left"/>
      <protection hidden="1"/>
    </xf>
    <xf numFmtId="164" fontId="38" fillId="0" borderId="0" xfId="68" applyFont="1" applyFill="1" applyAlignment="1" applyProtection="1">
      <alignment horizontal="left" indent="3"/>
      <protection hidden="1"/>
    </xf>
    <xf numFmtId="164" fontId="42" fillId="0" borderId="0" xfId="68" applyFont="1" applyFill="1" applyAlignment="1" applyProtection="1">
      <alignment horizontal="left" indent="3"/>
      <protection hidden="1"/>
    </xf>
    <xf numFmtId="164" fontId="43" fillId="0" borderId="0" xfId="0" applyFont="1" applyFill="1" applyBorder="1" applyAlignment="1">
      <alignment/>
    </xf>
    <xf numFmtId="164" fontId="23" fillId="0" borderId="15" xfId="0" applyFont="1" applyBorder="1" applyAlignment="1" applyProtection="1">
      <alignment horizontal="center" vertical="center" wrapText="1"/>
      <protection/>
    </xf>
    <xf numFmtId="170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8" borderId="10" xfId="0" applyFont="1" applyFill="1" applyBorder="1" applyAlignment="1" applyProtection="1">
      <alignment horizontal="center" vertical="center" wrapText="1"/>
      <protection/>
    </xf>
    <xf numFmtId="164" fontId="23" fillId="8" borderId="15" xfId="0" applyFont="1" applyFill="1" applyBorder="1" applyAlignment="1" applyProtection="1">
      <alignment horizontal="center" vertical="center" wrapText="1"/>
      <protection/>
    </xf>
    <xf numFmtId="164" fontId="23" fillId="8" borderId="16" xfId="0" applyFont="1" applyFill="1" applyBorder="1" applyAlignment="1" applyProtection="1">
      <alignment horizontal="center" vertical="center" wrapText="1"/>
      <protection/>
    </xf>
    <xf numFmtId="164" fontId="23" fillId="0" borderId="10" xfId="0" applyFont="1" applyBorder="1" applyAlignment="1">
      <alignment horizontal="center" vertical="center"/>
    </xf>
    <xf numFmtId="164" fontId="35" fillId="0" borderId="10" xfId="69" applyFont="1" applyFill="1" applyBorder="1" applyAlignment="1">
      <alignment wrapText="1"/>
      <protection/>
    </xf>
    <xf numFmtId="167" fontId="27" fillId="0" borderId="10" xfId="69" applyNumberFormat="1" applyFont="1" applyFill="1" applyBorder="1" applyAlignment="1">
      <alignment horizontal="center" vertical="center"/>
      <protection/>
    </xf>
    <xf numFmtId="168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5" fillId="24" borderId="10" xfId="69" applyNumberFormat="1" applyFont="1" applyFill="1" applyBorder="1" applyAlignment="1">
      <alignment horizontal="center"/>
      <protection/>
    </xf>
    <xf numFmtId="164" fontId="35" fillId="0" borderId="10" xfId="20" applyFont="1" applyFill="1" applyBorder="1" applyAlignment="1">
      <alignment horizontal="center"/>
      <protection/>
    </xf>
    <xf numFmtId="164" fontId="23" fillId="22" borderId="10" xfId="0" applyFont="1" applyFill="1" applyBorder="1" applyAlignment="1">
      <alignment/>
    </xf>
    <xf numFmtId="164" fontId="22" fillId="22" borderId="10" xfId="0" applyFont="1" applyFill="1" applyBorder="1" applyAlignment="1">
      <alignment/>
    </xf>
    <xf numFmtId="167" fontId="27" fillId="22" borderId="10" xfId="69" applyNumberFormat="1" applyFont="1" applyFill="1" applyBorder="1" applyAlignment="1">
      <alignment horizontal="center" vertical="center"/>
      <protection/>
    </xf>
    <xf numFmtId="168" fontId="23" fillId="22" borderId="10" xfId="0" applyNumberFormat="1" applyFont="1" applyFill="1" applyBorder="1" applyAlignment="1" applyProtection="1">
      <alignment horizontal="center" vertical="center" wrapText="1"/>
      <protection locked="0"/>
    </xf>
    <xf numFmtId="164" fontId="23" fillId="22" borderId="16" xfId="0" applyFont="1" applyFill="1" applyBorder="1" applyAlignment="1">
      <alignment horizontal="center" vertical="center"/>
    </xf>
    <xf numFmtId="164" fontId="23" fillId="22" borderId="10" xfId="0" applyFont="1" applyFill="1" applyBorder="1" applyAlignment="1">
      <alignment horizontal="center" vertical="center"/>
    </xf>
    <xf numFmtId="164" fontId="15" fillId="0" borderId="0" xfId="0" applyFont="1" applyAlignment="1" applyProtection="1">
      <alignment horizontal="center" vertical="center" wrapText="1"/>
      <protection locked="0"/>
    </xf>
    <xf numFmtId="164" fontId="27" fillId="0" borderId="0" xfId="0" applyFont="1" applyAlignment="1" applyProtection="1">
      <alignment horizontal="center" vertical="center" wrapText="1"/>
      <protection locked="0"/>
    </xf>
    <xf numFmtId="164" fontId="27" fillId="0" borderId="10" xfId="0" applyFont="1" applyBorder="1" applyAlignment="1" applyProtection="1">
      <alignment horizontal="center" vertical="center" wrapText="1"/>
      <protection/>
    </xf>
    <xf numFmtId="164" fontId="27" fillId="0" borderId="10" xfId="0" applyFont="1" applyBorder="1" applyAlignment="1" applyProtection="1">
      <alignment horizontal="center" vertical="center" wrapText="1"/>
      <protection locked="0"/>
    </xf>
    <xf numFmtId="164" fontId="27" fillId="0" borderId="15" xfId="0" applyFont="1" applyBorder="1" applyAlignment="1" applyProtection="1">
      <alignment horizontal="center" vertical="center" wrapText="1"/>
      <protection/>
    </xf>
    <xf numFmtId="164" fontId="27" fillId="0" borderId="0" xfId="0" applyFont="1" applyBorder="1" applyAlignment="1" applyProtection="1">
      <alignment horizontal="center" vertical="center" wrapText="1"/>
      <protection locked="0"/>
    </xf>
    <xf numFmtId="170" fontId="27" fillId="0" borderId="10" xfId="0" applyNumberFormat="1" applyFont="1" applyBorder="1" applyAlignment="1" applyProtection="1">
      <alignment horizontal="center" vertical="center" wrapText="1"/>
      <protection locked="0"/>
    </xf>
    <xf numFmtId="164" fontId="27" fillId="8" borderId="10" xfId="0" applyFont="1" applyFill="1" applyBorder="1" applyAlignment="1" applyProtection="1">
      <alignment horizontal="center" vertical="center" wrapText="1"/>
      <protection locked="0"/>
    </xf>
    <xf numFmtId="164" fontId="27" fillId="8" borderId="16" xfId="0" applyFont="1" applyFill="1" applyBorder="1" applyAlignment="1" applyProtection="1">
      <alignment horizontal="center" vertical="center" wrapText="1"/>
      <protection locked="0"/>
    </xf>
    <xf numFmtId="164" fontId="27" fillId="8" borderId="12" xfId="0" applyFont="1" applyFill="1" applyBorder="1" applyAlignment="1" applyProtection="1">
      <alignment horizontal="center" vertical="center" wrapText="1"/>
      <protection locked="0"/>
    </xf>
    <xf numFmtId="164" fontId="27" fillId="8" borderId="18" xfId="0" applyFont="1" applyFill="1" applyBorder="1" applyAlignment="1" applyProtection="1">
      <alignment horizontal="center" vertical="center" wrapText="1"/>
      <protection locked="0"/>
    </xf>
    <xf numFmtId="164" fontId="27" fillId="8" borderId="19" xfId="0" applyFont="1" applyFill="1" applyBorder="1" applyAlignment="1" applyProtection="1">
      <alignment horizontal="center" vertical="center" wrapText="1"/>
      <protection locked="0"/>
    </xf>
    <xf numFmtId="164" fontId="27" fillId="8" borderId="12" xfId="0" applyFont="1" applyFill="1" applyBorder="1" applyAlignment="1" applyProtection="1">
      <alignment horizontal="center" vertical="center" wrapText="1"/>
      <protection/>
    </xf>
    <xf numFmtId="164" fontId="27" fillId="0" borderId="10" xfId="0" applyFont="1" applyFill="1" applyBorder="1" applyAlignment="1" applyProtection="1">
      <alignment horizontal="center" vertical="center" wrapText="1"/>
      <protection locked="0"/>
    </xf>
    <xf numFmtId="164" fontId="35" fillId="24" borderId="10" xfId="20" applyFont="1" applyFill="1" applyBorder="1" applyAlignment="1">
      <alignment vertical="top" wrapText="1"/>
      <protection/>
    </xf>
    <xf numFmtId="167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171" fontId="35" fillId="0" borderId="10" xfId="20" applyNumberFormat="1" applyFont="1" applyFill="1" applyBorder="1" applyAlignment="1">
      <alignment horizontal="center" vertical="center"/>
      <protection/>
    </xf>
    <xf numFmtId="168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20" applyFont="1" applyFill="1" applyBorder="1" applyAlignment="1">
      <alignment horizontal="center"/>
      <protection/>
    </xf>
    <xf numFmtId="164" fontId="27" fillId="0" borderId="0" xfId="0" applyFont="1" applyFill="1" applyAlignment="1" applyProtection="1">
      <alignment horizontal="center" vertical="center" wrapText="1"/>
      <protection locked="0"/>
    </xf>
    <xf numFmtId="164" fontId="35" fillId="24" borderId="10" xfId="69" applyFont="1" applyFill="1" applyBorder="1" applyAlignment="1">
      <alignment wrapText="1"/>
      <protection/>
    </xf>
    <xf numFmtId="167" fontId="35" fillId="0" borderId="10" xfId="20" applyNumberFormat="1" applyFont="1" applyFill="1" applyBorder="1" applyAlignment="1">
      <alignment horizontal="center" vertical="center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20" xfId="0" applyFont="1" applyFill="1" applyBorder="1" applyAlignment="1" applyProtection="1">
      <alignment horizontal="left" vertical="center" wrapText="1"/>
      <protection locked="0"/>
    </xf>
    <xf numFmtId="167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4" fillId="0" borderId="16" xfId="20" applyNumberFormat="1" applyFont="1" applyFill="1" applyBorder="1" applyAlignment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 wrapText="1"/>
      <protection locked="0"/>
    </xf>
    <xf numFmtId="164" fontId="44" fillId="0" borderId="12" xfId="0" applyFont="1" applyFill="1" applyBorder="1" applyAlignment="1" applyProtection="1">
      <alignment horizontal="center" vertical="center" wrapText="1"/>
      <protection/>
    </xf>
    <xf numFmtId="164" fontId="35" fillId="0" borderId="10" xfId="0" applyFont="1" applyFill="1" applyBorder="1" applyAlignment="1">
      <alignment horizontal="center" vertical="center" wrapText="1"/>
    </xf>
    <xf numFmtId="175" fontId="35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164" fontId="45" fillId="8" borderId="10" xfId="0" applyFont="1" applyFill="1" applyBorder="1" applyAlignment="1">
      <alignment horizontal="left"/>
    </xf>
    <xf numFmtId="164" fontId="35" fillId="0" borderId="10" xfId="0" applyFont="1" applyFill="1" applyBorder="1" applyAlignment="1">
      <alignment horizontal="center"/>
    </xf>
    <xf numFmtId="164" fontId="35" fillId="0" borderId="10" xfId="20" applyFont="1" applyFill="1" applyBorder="1" applyAlignment="1">
      <alignment horizontal="center" vertical="center" wrapText="1"/>
      <protection/>
    </xf>
    <xf numFmtId="164" fontId="35" fillId="0" borderId="10" xfId="69" applyFont="1" applyFill="1" applyBorder="1" applyAlignment="1">
      <alignment horizontal="center"/>
      <protection/>
    </xf>
    <xf numFmtId="172" fontId="35" fillId="0" borderId="10" xfId="69" applyNumberFormat="1" applyFont="1" applyFill="1" applyBorder="1" applyAlignment="1">
      <alignment horizontal="center" vertical="center"/>
      <protection/>
    </xf>
    <xf numFmtId="177" fontId="35" fillId="24" borderId="10" xfId="0" applyNumberFormat="1" applyFont="1" applyFill="1" applyBorder="1" applyAlignment="1">
      <alignment horizontal="center" vertical="center" wrapText="1"/>
    </xf>
    <xf numFmtId="167" fontId="35" fillId="24" borderId="10" xfId="0" applyNumberFormat="1" applyFont="1" applyFill="1" applyBorder="1" applyAlignment="1">
      <alignment horizontal="center" vertical="center" wrapText="1"/>
    </xf>
    <xf numFmtId="164" fontId="45" fillId="0" borderId="10" xfId="0" applyFont="1" applyFill="1" applyBorder="1" applyAlignment="1">
      <alignment horizontal="center"/>
    </xf>
    <xf numFmtId="167" fontId="35" fillId="0" borderId="10" xfId="42" applyNumberFormat="1" applyFont="1" applyFill="1" applyBorder="1" applyAlignment="1">
      <alignment horizontal="center" vertical="center"/>
      <protection/>
    </xf>
    <xf numFmtId="164" fontId="20" fillId="0" borderId="0" xfId="0" applyFont="1" applyFill="1" applyAlignment="1">
      <alignment/>
    </xf>
    <xf numFmtId="170" fontId="35" fillId="0" borderId="12" xfId="69" applyNumberFormat="1" applyFont="1" applyFill="1" applyBorder="1" applyAlignment="1">
      <alignment horizontal="left" vertical="center" wrapText="1"/>
      <protection/>
    </xf>
    <xf numFmtId="170" fontId="35" fillId="0" borderId="10" xfId="69" applyNumberFormat="1" applyFont="1" applyFill="1" applyBorder="1" applyAlignment="1">
      <alignment horizontal="center" vertical="center" wrapText="1"/>
      <protection/>
    </xf>
    <xf numFmtId="172" fontId="35" fillId="24" borderId="10" xfId="69" applyNumberFormat="1" applyFont="1" applyFill="1" applyBorder="1" applyAlignment="1">
      <alignment horizontal="center" vertical="center" wrapText="1"/>
      <protection/>
    </xf>
    <xf numFmtId="164" fontId="35" fillId="0" borderId="10" xfId="0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7" fontId="35" fillId="0" borderId="10" xfId="0" applyNumberFormat="1" applyFont="1" applyFill="1" applyBorder="1" applyAlignment="1">
      <alignment horizontal="center" vertical="center" wrapText="1"/>
    </xf>
    <xf numFmtId="164" fontId="46" fillId="0" borderId="10" xfId="0" applyFont="1" applyFill="1" applyBorder="1" applyAlignment="1">
      <alignment horizontal="center" vertical="center" wrapText="1"/>
    </xf>
    <xf numFmtId="167" fontId="42" fillId="0" borderId="10" xfId="0" applyNumberFormat="1" applyFont="1" applyFill="1" applyBorder="1" applyAlignment="1">
      <alignment horizontal="center" vertical="center" wrapText="1"/>
    </xf>
    <xf numFmtId="164" fontId="35" fillId="0" borderId="10" xfId="69" applyFont="1" applyFill="1" applyBorder="1" applyAlignment="1">
      <alignment horizontal="center" wrapText="1"/>
      <protection/>
    </xf>
    <xf numFmtId="173" fontId="27" fillId="24" borderId="10" xfId="72" applyNumberFormat="1" applyFont="1" applyFill="1" applyBorder="1" applyAlignment="1">
      <alignment horizontal="center" vertical="center"/>
      <protection/>
    </xf>
    <xf numFmtId="167" fontId="35" fillId="0" borderId="10" xfId="0" applyNumberFormat="1" applyFont="1" applyFill="1" applyBorder="1" applyAlignment="1" applyProtection="1">
      <alignment horizontal="center" vertical="center" wrapText="1"/>
      <protection/>
    </xf>
    <xf numFmtId="164" fontId="44" fillId="22" borderId="10" xfId="0" applyFont="1" applyFill="1" applyBorder="1" applyAlignment="1">
      <alignment horizontal="left" vertical="center"/>
    </xf>
    <xf numFmtId="167" fontId="44" fillId="22" borderId="10" xfId="0" applyNumberFormat="1" applyFont="1" applyFill="1" applyBorder="1" applyAlignment="1">
      <alignment horizontal="center" vertical="center" wrapText="1"/>
    </xf>
    <xf numFmtId="164" fontId="44" fillId="22" borderId="10" xfId="0" applyFont="1" applyFill="1" applyBorder="1" applyAlignment="1">
      <alignment horizontal="center" vertical="center" wrapText="1"/>
    </xf>
    <xf numFmtId="169" fontId="44" fillId="22" borderId="10" xfId="0" applyNumberFormat="1" applyFont="1" applyFill="1" applyBorder="1" applyAlignment="1">
      <alignment horizontal="center" vertical="center" wrapText="1"/>
    </xf>
    <xf numFmtId="164" fontId="35" fillId="24" borderId="13" xfId="20" applyFont="1" applyFill="1" applyBorder="1" applyAlignment="1" applyProtection="1">
      <alignment horizontal="left" vertical="center" wrapText="1"/>
      <protection/>
    </xf>
    <xf numFmtId="164" fontId="35" fillId="24" borderId="21" xfId="70" applyFont="1" applyFill="1" applyBorder="1" applyAlignment="1">
      <alignment horizontal="center"/>
      <protection/>
    </xf>
    <xf numFmtId="172" fontId="35" fillId="24" borderId="21" xfId="21" applyNumberFormat="1" applyFont="1" applyFill="1" applyBorder="1" applyAlignment="1">
      <alignment horizontal="center" vertical="center" wrapText="1"/>
      <protection/>
    </xf>
    <xf numFmtId="178" fontId="35" fillId="0" borderId="21" xfId="21" applyNumberFormat="1" applyFont="1" applyFill="1" applyBorder="1" applyAlignment="1">
      <alignment horizontal="center" vertical="center"/>
      <protection/>
    </xf>
    <xf numFmtId="178" fontId="35" fillId="24" borderId="10" xfId="0" applyNumberFormat="1" applyFont="1" applyFill="1" applyBorder="1" applyAlignment="1">
      <alignment horizontal="center" vertical="center" wrapText="1"/>
    </xf>
    <xf numFmtId="174" fontId="35" fillId="0" borderId="10" xfId="69" applyNumberFormat="1" applyFont="1" applyFill="1" applyBorder="1" applyAlignment="1">
      <alignment horizontal="center"/>
      <protection/>
    </xf>
    <xf numFmtId="178" fontId="35" fillId="24" borderId="21" xfId="21" applyNumberFormat="1" applyFont="1" applyFill="1" applyBorder="1" applyAlignment="1">
      <alignment horizontal="center" vertical="center"/>
      <protection/>
    </xf>
    <xf numFmtId="167" fontId="35" fillId="24" borderId="21" xfId="21" applyNumberFormat="1" applyFont="1" applyFill="1" applyBorder="1" applyAlignment="1">
      <alignment horizontal="center" vertical="center" wrapText="1"/>
      <protection/>
    </xf>
    <xf numFmtId="164" fontId="44" fillId="22" borderId="10" xfId="0" applyFont="1" applyFill="1" applyBorder="1" applyAlignment="1">
      <alignment vertical="center"/>
    </xf>
    <xf numFmtId="171" fontId="44" fillId="22" borderId="10" xfId="0" applyNumberFormat="1" applyFont="1" applyFill="1" applyBorder="1" applyAlignment="1">
      <alignment horizontal="center" vertical="center" wrapText="1"/>
    </xf>
    <xf numFmtId="164" fontId="35" fillId="0" borderId="10" xfId="20" applyFont="1" applyFill="1" applyBorder="1" applyAlignment="1">
      <alignment horizontal="center" vertical="center"/>
      <protection/>
    </xf>
    <xf numFmtId="164" fontId="35" fillId="24" borderId="10" xfId="20" applyFont="1" applyFill="1" applyBorder="1" applyAlignment="1" applyProtection="1">
      <alignment horizontal="left" vertical="center" wrapText="1"/>
      <protection/>
    </xf>
    <xf numFmtId="164" fontId="35" fillId="24" borderId="10" xfId="20" applyFont="1" applyFill="1" applyBorder="1" applyAlignment="1" applyProtection="1">
      <alignment horizontal="center" vertical="center" wrapText="1"/>
      <protection/>
    </xf>
    <xf numFmtId="171" fontId="35" fillId="24" borderId="10" xfId="20" applyNumberFormat="1" applyFont="1" applyFill="1" applyBorder="1" applyAlignment="1" applyProtection="1">
      <alignment horizontal="center" vertical="center" wrapText="1"/>
      <protection/>
    </xf>
    <xf numFmtId="167" fontId="35" fillId="0" borderId="10" xfId="20" applyNumberFormat="1" applyFont="1" applyFill="1" applyBorder="1" applyAlignment="1">
      <alignment horizontal="center" vertical="center" wrapText="1"/>
      <protection/>
    </xf>
    <xf numFmtId="164" fontId="27" fillId="0" borderId="0" xfId="0" applyFont="1" applyAlignment="1">
      <alignment/>
    </xf>
    <xf numFmtId="171" fontId="35" fillId="24" borderId="10" xfId="69" applyNumberFormat="1" applyFont="1" applyFill="1" applyBorder="1" applyAlignment="1">
      <alignment horizontal="center"/>
      <protection/>
    </xf>
    <xf numFmtId="164" fontId="35" fillId="0" borderId="15" xfId="20" applyFont="1" applyFill="1" applyBorder="1" applyAlignment="1">
      <alignment horizontal="center" vertical="center"/>
      <protection/>
    </xf>
    <xf numFmtId="171" fontId="35" fillId="0" borderId="10" xfId="0" applyNumberFormat="1" applyFont="1" applyFill="1" applyBorder="1" applyAlignment="1">
      <alignment horizontal="center"/>
    </xf>
    <xf numFmtId="167" fontId="35" fillId="0" borderId="13" xfId="20" applyNumberFormat="1" applyFont="1" applyFill="1" applyBorder="1" applyAlignment="1">
      <alignment horizontal="center" vertical="center" wrapText="1"/>
      <protection/>
    </xf>
    <xf numFmtId="164" fontId="35" fillId="0" borderId="10" xfId="20" applyFont="1" applyFill="1" applyBorder="1" applyAlignment="1">
      <alignment horizontal="center" wrapText="1"/>
      <protection/>
    </xf>
    <xf numFmtId="164" fontId="44" fillId="0" borderId="10" xfId="20" applyFont="1" applyFill="1" applyBorder="1" applyAlignment="1">
      <alignment horizontal="center" vertical="center" wrapText="1"/>
      <protection/>
    </xf>
    <xf numFmtId="164" fontId="47" fillId="0" borderId="0" xfId="0" applyFont="1" applyFill="1" applyAlignment="1">
      <alignment/>
    </xf>
    <xf numFmtId="171" fontId="44" fillId="22" borderId="16" xfId="0" applyNumberFormat="1" applyFont="1" applyFill="1" applyBorder="1" applyAlignment="1">
      <alignment horizontal="center" vertical="center" wrapText="1"/>
    </xf>
    <xf numFmtId="164" fontId="45" fillId="8" borderId="10" xfId="0" applyFont="1" applyFill="1" applyBorder="1" applyAlignment="1">
      <alignment horizontal="left" vertical="center"/>
    </xf>
    <xf numFmtId="164" fontId="27" fillId="24" borderId="10" xfId="69" applyFont="1" applyFill="1" applyBorder="1" applyAlignment="1">
      <alignment wrapText="1"/>
      <protection/>
    </xf>
    <xf numFmtId="164" fontId="35" fillId="0" borderId="10" xfId="20" applyNumberFormat="1" applyFont="1" applyFill="1" applyBorder="1" applyAlignment="1">
      <alignment horizontal="center" vertical="center" wrapText="1"/>
      <protection/>
    </xf>
    <xf numFmtId="171" fontId="44" fillId="22" borderId="16" xfId="69" applyNumberFormat="1" applyFont="1" applyFill="1" applyBorder="1" applyAlignment="1">
      <alignment horizontal="center" vertical="center"/>
      <protection/>
    </xf>
    <xf numFmtId="171" fontId="44" fillId="22" borderId="10" xfId="69" applyNumberFormat="1" applyFont="1" applyFill="1" applyBorder="1" applyAlignment="1">
      <alignment horizontal="center" vertical="center"/>
      <protection/>
    </xf>
    <xf numFmtId="164" fontId="35" fillId="0" borderId="12" xfId="20" applyFont="1" applyFill="1" applyBorder="1" applyAlignment="1">
      <alignment horizontal="center" vertical="center" wrapText="1"/>
      <protection/>
    </xf>
    <xf numFmtId="164" fontId="35" fillId="0" borderId="10" xfId="20" applyFont="1" applyFill="1" applyBorder="1" applyAlignment="1" applyProtection="1">
      <alignment horizontal="center" vertical="center" wrapText="1"/>
      <protection/>
    </xf>
    <xf numFmtId="167" fontId="35" fillId="0" borderId="10" xfId="20" applyNumberFormat="1" applyFont="1" applyFill="1" applyBorder="1" applyAlignment="1">
      <alignment horizontal="center" wrapText="1"/>
      <protection/>
    </xf>
    <xf numFmtId="167" fontId="35" fillId="0" borderId="10" xfId="20" applyNumberFormat="1" applyFont="1" applyFill="1" applyBorder="1" applyAlignment="1">
      <alignment horizontal="center"/>
      <protection/>
    </xf>
    <xf numFmtId="167" fontId="35" fillId="0" borderId="10" xfId="69" applyNumberFormat="1" applyFont="1" applyFill="1" applyBorder="1" applyAlignment="1">
      <alignment horizontal="center"/>
      <protection/>
    </xf>
    <xf numFmtId="164" fontId="45" fillId="0" borderId="10" xfId="20" applyFont="1" applyFill="1" applyBorder="1" applyAlignment="1">
      <alignment horizontal="center"/>
      <protection/>
    </xf>
    <xf numFmtId="167" fontId="44" fillId="22" borderId="10" xfId="0" applyNumberFormat="1" applyFont="1" applyFill="1" applyBorder="1" applyAlignment="1">
      <alignment horizontal="center" vertical="center"/>
    </xf>
    <xf numFmtId="164" fontId="35" fillId="0" borderId="12" xfId="69" applyFont="1" applyFill="1" applyBorder="1" applyAlignment="1">
      <alignment horizontal="center" vertical="center"/>
      <protection/>
    </xf>
    <xf numFmtId="164" fontId="35" fillId="22" borderId="10" xfId="20" applyFont="1" applyFill="1" applyBorder="1" applyAlignment="1">
      <alignment horizontal="center"/>
      <protection/>
    </xf>
    <xf numFmtId="169" fontId="44" fillId="22" borderId="10" xfId="0" applyNumberFormat="1" applyFont="1" applyFill="1" applyBorder="1" applyAlignment="1">
      <alignment horizontal="center" vertical="center"/>
    </xf>
    <xf numFmtId="164" fontId="27" fillId="0" borderId="0" xfId="0" applyFont="1" applyFill="1" applyAlignment="1">
      <alignment horizontal="center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75" fontId="27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/>
    </xf>
    <xf numFmtId="164" fontId="27" fillId="0" borderId="0" xfId="0" applyFont="1" applyFill="1" applyAlignment="1">
      <alignment horizontal="left" vertical="center" wrapText="1"/>
    </xf>
    <xf numFmtId="164" fontId="44" fillId="0" borderId="0" xfId="0" applyFont="1" applyFill="1" applyAlignment="1">
      <alignment horizontal="right" vertical="center" wrapText="1"/>
    </xf>
    <xf numFmtId="167" fontId="32" fillId="0" borderId="0" xfId="0" applyNumberFormat="1" applyFont="1" applyFill="1" applyAlignment="1">
      <alignment horizontal="center" vertical="center" wrapText="1"/>
    </xf>
    <xf numFmtId="164" fontId="48" fillId="0" borderId="0" xfId="0" applyFont="1" applyFill="1" applyAlignment="1">
      <alignment horizontal="center" vertical="center" wrapText="1"/>
    </xf>
    <xf numFmtId="167" fontId="44" fillId="0" borderId="0" xfId="0" applyNumberFormat="1" applyFont="1" applyFill="1" applyAlignment="1">
      <alignment horizontal="center" vertical="center" wrapText="1"/>
    </xf>
    <xf numFmtId="171" fontId="48" fillId="0" borderId="0" xfId="0" applyNumberFormat="1" applyFont="1" applyFill="1" applyAlignment="1">
      <alignment horizontal="center" vertical="center" wrapText="1"/>
    </xf>
    <xf numFmtId="170" fontId="48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/>
      <protection/>
    </xf>
    <xf numFmtId="164" fontId="27" fillId="0" borderId="0" xfId="0" applyNumberFormat="1" applyFont="1" applyFill="1" applyAlignment="1" applyProtection="1">
      <alignment horizontal="center" vertical="center"/>
      <protection/>
    </xf>
    <xf numFmtId="164" fontId="27" fillId="0" borderId="0" xfId="68" applyFont="1" applyFill="1" applyAlignment="1" applyProtection="1">
      <alignment horizontal="center"/>
      <protection hidden="1"/>
    </xf>
    <xf numFmtId="164" fontId="2" fillId="0" borderId="0" xfId="0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right" vertical="center" wrapText="1"/>
    </xf>
    <xf numFmtId="167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Alignment="1" applyProtection="1">
      <alignment horizontal="center" vertical="center"/>
      <protection/>
    </xf>
    <xf numFmtId="164" fontId="49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center" vertical="center"/>
      <protection/>
    </xf>
    <xf numFmtId="171" fontId="2" fillId="0" borderId="0" xfId="0" applyNumberFormat="1" applyFont="1" applyFill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7" fontId="27" fillId="0" borderId="0" xfId="0" applyNumberFormat="1" applyFont="1" applyFill="1" applyAlignment="1">
      <alignment horizontal="center"/>
    </xf>
  </cellXfs>
  <cellStyles count="7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3;&#10;JournalTemplate=C:\COMFO\CTALK\JOURSTD.TPL&#13;&#10;LbStateAddress=3 3 0 251 1 89 2 311&#13;&#10;LbStateJou" xfId="20"/>
    <cellStyle name="&#13;&#10;JournalTemplate=C:\COMFO\CTALK\JOURSTD.TPL&#13;&#10;LbStateAddress=3 3 0 251 1 89 2 311&#13;&#10;LbStateJou 2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Iau?iue" xfId="40"/>
    <cellStyle name="TableStyleLight1" xfId="41"/>
    <cellStyle name="TableStyleLight1 2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од  2" xfId="49"/>
    <cellStyle name="Вывод 2" xfId="50"/>
    <cellStyle name="Вычисление 2" xfId="51"/>
    <cellStyle name="Заголовок 1 2" xfId="52"/>
    <cellStyle name="Заголовок 2 2" xfId="53"/>
    <cellStyle name="Заголовок 3 2" xfId="54"/>
    <cellStyle name="Заголовок 4 2" xfId="55"/>
    <cellStyle name="Итог 2" xfId="56"/>
    <cellStyle name="Контрольная ячейка 2" xfId="57"/>
    <cellStyle name="Название 2" xfId="58"/>
    <cellStyle name="Нейтральный 2" xfId="59"/>
    <cellStyle name="Обычный 2" xfId="60"/>
    <cellStyle name="Обычный 2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_nkre1" xfId="68"/>
    <cellStyle name="Обычный_Zakupki" xfId="69"/>
    <cellStyle name="Обычный_Zakupki 2" xfId="70"/>
    <cellStyle name="Обычный_ИТОГОВАЯ ИНВЕСТ Готовая с деньгами 2013  12.06.12г" xfId="71"/>
    <cellStyle name="Обычный_Лист1" xfId="72"/>
    <cellStyle name="Обычный_МС 2006" xfId="73"/>
    <cellStyle name="Обычный_шаблон ХОЭ" xfId="74"/>
    <cellStyle name="Плохой 2" xfId="75"/>
    <cellStyle name="Пояснение 2" xfId="76"/>
    <cellStyle name="Примечание 2" xfId="77"/>
    <cellStyle name="Процентный 2" xfId="78"/>
    <cellStyle name="Связанная ячейка 2" xfId="79"/>
    <cellStyle name="Текст предупреждения 2" xfId="80"/>
    <cellStyle name="Финансовый 2" xfId="81"/>
    <cellStyle name="Финансовый 3" xfId="82"/>
    <cellStyle name="Хороший 2" xfId="83"/>
    <cellStyle name="Excel Built-in Normal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9"/>
  <sheetViews>
    <sheetView view="pageBreakPreview" zoomScaleNormal="74" zoomScaleSheetLayoutView="100" workbookViewId="0" topLeftCell="A1">
      <selection activeCell="G48" sqref="G48"/>
    </sheetView>
  </sheetViews>
  <sheetFormatPr defaultColWidth="10.28125" defaultRowHeight="15" customHeight="1"/>
  <cols>
    <col min="1" max="1" width="5.8515625" style="0" customWidth="1"/>
    <col min="2" max="2" width="56.00390625" style="0" customWidth="1"/>
    <col min="3" max="3" width="15.7109375" style="0" customWidth="1"/>
    <col min="4" max="4" width="8.8515625" style="0" customWidth="1"/>
    <col min="5" max="5" width="15.57421875" style="0" customWidth="1"/>
    <col min="6" max="6" width="9.00390625" style="0" customWidth="1"/>
    <col min="7" max="7" width="15.57421875" style="0" customWidth="1"/>
    <col min="8" max="8" width="14.57421875" style="0" customWidth="1"/>
    <col min="9" max="9" width="15.140625" style="0" customWidth="1"/>
    <col min="10" max="10" width="14.7109375" style="0" customWidth="1"/>
    <col min="11" max="11" width="6.00390625" style="0" customWidth="1"/>
    <col min="12" max="16384" width="10.421875" style="0" customWidth="1"/>
  </cols>
  <sheetData>
    <row r="1" spans="1:1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" customHeight="1">
      <c r="A2" s="3" t="s">
        <v>1</v>
      </c>
      <c r="B2" s="3" t="s">
        <v>2</v>
      </c>
      <c r="C2" s="4" t="s">
        <v>3</v>
      </c>
      <c r="D2" s="4"/>
      <c r="E2" s="5" t="s">
        <v>4</v>
      </c>
      <c r="F2" s="5"/>
      <c r="G2" s="5"/>
      <c r="H2" s="5"/>
      <c r="I2" s="5"/>
      <c r="J2" s="5"/>
      <c r="K2" s="2"/>
    </row>
    <row r="3" spans="1:11" ht="34.5" customHeight="1">
      <c r="A3" s="3"/>
      <c r="B3" s="3"/>
      <c r="C3" s="4"/>
      <c r="D3" s="4"/>
      <c r="E3" s="6" t="s">
        <v>5</v>
      </c>
      <c r="F3" s="6"/>
      <c r="G3" s="4" t="s">
        <v>6</v>
      </c>
      <c r="H3" s="4" t="s">
        <v>7</v>
      </c>
      <c r="I3" s="4" t="s">
        <v>8</v>
      </c>
      <c r="J3" s="7" t="s">
        <v>9</v>
      </c>
      <c r="K3" s="2"/>
    </row>
    <row r="4" spans="1:11" ht="29.25" customHeight="1">
      <c r="A4" s="3"/>
      <c r="B4" s="3"/>
      <c r="C4" s="3" t="s">
        <v>10</v>
      </c>
      <c r="D4" s="3" t="s">
        <v>11</v>
      </c>
      <c r="E4" s="3" t="s">
        <v>10</v>
      </c>
      <c r="F4" s="3" t="s">
        <v>11</v>
      </c>
      <c r="G4" s="3" t="s">
        <v>10</v>
      </c>
      <c r="H4" s="3" t="s">
        <v>10</v>
      </c>
      <c r="I4" s="3" t="s">
        <v>10</v>
      </c>
      <c r="J4" s="8" t="s">
        <v>10</v>
      </c>
      <c r="K4" s="2"/>
    </row>
    <row r="5" spans="1:11" ht="41.25" customHeight="1">
      <c r="A5" s="9" t="s">
        <v>12</v>
      </c>
      <c r="B5" s="10" t="s">
        <v>13</v>
      </c>
      <c r="C5" s="11">
        <f>E5+G5+H5+I5+J5</f>
        <v>380188.9708333335</v>
      </c>
      <c r="D5" s="12">
        <f>IF(C12=0,0,C5/C12)</f>
        <v>0.8022386755320622</v>
      </c>
      <c r="E5" s="13">
        <f>'6.Проведення закупівель'!G39</f>
        <v>76037.7941666667</v>
      </c>
      <c r="F5" s="14">
        <f>IF(E12=0,0,E5/E12)</f>
        <v>0.802238760172466</v>
      </c>
      <c r="G5" s="13">
        <f>E5</f>
        <v>76037.7941666667</v>
      </c>
      <c r="H5" s="13">
        <f>E5</f>
        <v>76037.7941666667</v>
      </c>
      <c r="I5" s="13">
        <f>E5</f>
        <v>76037.7941666667</v>
      </c>
      <c r="J5" s="13">
        <f>E5</f>
        <v>76037.7941666667</v>
      </c>
      <c r="K5" s="2"/>
    </row>
    <row r="6" spans="1:11" ht="25.5" customHeight="1">
      <c r="A6" s="9" t="s">
        <v>14</v>
      </c>
      <c r="B6" s="10" t="s">
        <v>15</v>
      </c>
      <c r="C6" s="11">
        <f>E6+G6+H6+I6+J6</f>
        <v>29508.4625</v>
      </c>
      <c r="D6" s="12">
        <f>IF(C12=0,0,C6/C12)</f>
        <v>0.062265956377164804</v>
      </c>
      <c r="E6" s="13">
        <f>'6.Проведення закупівель'!G51</f>
        <v>5901.6925</v>
      </c>
      <c r="F6" s="14">
        <f>IF(E12=0,0,E6/E12)</f>
        <v>0.062265962946551005</v>
      </c>
      <c r="G6" s="13">
        <f>E6</f>
        <v>5901.6925</v>
      </c>
      <c r="H6" s="13">
        <f>E6</f>
        <v>5901.6925</v>
      </c>
      <c r="I6" s="13">
        <f>E6</f>
        <v>5901.6925</v>
      </c>
      <c r="J6" s="13">
        <f>E6</f>
        <v>5901.6925</v>
      </c>
      <c r="K6" s="2"/>
    </row>
    <row r="7" spans="1:11" ht="15" customHeight="1">
      <c r="A7" s="9" t="s">
        <v>16</v>
      </c>
      <c r="B7" s="10" t="s">
        <v>17</v>
      </c>
      <c r="C7" s="11">
        <f>E7+G7+H7+I7+J7</f>
        <v>7403.8375</v>
      </c>
      <c r="D7" s="12">
        <f>IF(C12=0,0,C7/C12)</f>
        <v>0.015622875058252082</v>
      </c>
      <c r="E7" s="13">
        <f>'6.Проведення закупівель'!G59</f>
        <v>1480.7675</v>
      </c>
      <c r="F7" s="14">
        <f>IF(E12=0,0,E7/E12)</f>
        <v>0.01562287670654765</v>
      </c>
      <c r="G7" s="13">
        <f>E7</f>
        <v>1480.7675</v>
      </c>
      <c r="H7" s="13">
        <f>E7</f>
        <v>1480.7675</v>
      </c>
      <c r="I7" s="13">
        <f>E7</f>
        <v>1480.7675</v>
      </c>
      <c r="J7" s="13">
        <f>E7</f>
        <v>1480.7675</v>
      </c>
      <c r="K7" s="2"/>
    </row>
    <row r="8" spans="1:11" ht="15" customHeight="1">
      <c r="A8" s="9" t="s">
        <v>18</v>
      </c>
      <c r="B8" s="10" t="s">
        <v>19</v>
      </c>
      <c r="C8" s="11">
        <f>E8+G8+H8+I8+J8</f>
        <v>16001.000000000002</v>
      </c>
      <c r="D8" s="12">
        <f>IF(C12=0,0,C8/C12)</f>
        <v>0.033763791251103445</v>
      </c>
      <c r="E8" s="13">
        <f>'6.Проведення закупівель'!G73</f>
        <v>3200.2000000000003</v>
      </c>
      <c r="F8" s="14">
        <f>IF(E12=0,0,E8/E12)</f>
        <v>0.03376379481336118</v>
      </c>
      <c r="G8" s="13">
        <f>E8</f>
        <v>3200.2000000000003</v>
      </c>
      <c r="H8" s="13">
        <f>E8</f>
        <v>3200.2000000000003</v>
      </c>
      <c r="I8" s="13">
        <f>E8</f>
        <v>3200.2000000000003</v>
      </c>
      <c r="J8" s="13">
        <f>E8</f>
        <v>3200.2000000000003</v>
      </c>
      <c r="K8" s="2"/>
    </row>
    <row r="9" spans="1:11" ht="15" customHeight="1">
      <c r="A9" s="9" t="s">
        <v>20</v>
      </c>
      <c r="B9" s="10" t="s">
        <v>21</v>
      </c>
      <c r="C9" s="11">
        <f>E9+G9+H9+I9+J9</f>
        <v>5579.8791666666675</v>
      </c>
      <c r="D9" s="12">
        <f>IF(C12=0,0,C9/C12)</f>
        <v>0.011774131328649108</v>
      </c>
      <c r="E9" s="13">
        <f>'6.Проведення закупівель'!G79</f>
        <v>1115.9758333333334</v>
      </c>
      <c r="F9" s="14">
        <f>IF(E12=0,0,E9/E12)</f>
        <v>0.011774132570881949</v>
      </c>
      <c r="G9" s="13">
        <f>E9</f>
        <v>1115.9758333333334</v>
      </c>
      <c r="H9" s="13">
        <f>E9</f>
        <v>1115.9758333333334</v>
      </c>
      <c r="I9" s="13">
        <f>E9</f>
        <v>1115.9758333333334</v>
      </c>
      <c r="J9" s="13">
        <f>E9</f>
        <v>1115.9758333333334</v>
      </c>
      <c r="K9" s="2"/>
    </row>
    <row r="10" spans="1:11" ht="15" customHeight="1">
      <c r="A10" s="9" t="s">
        <v>22</v>
      </c>
      <c r="B10" s="10" t="s">
        <v>23</v>
      </c>
      <c r="C10" s="11">
        <f>E10+G10+H10+I10+J10</f>
        <v>28932.9</v>
      </c>
      <c r="D10" s="12">
        <f>IF(C12=0,0,C10/C12)</f>
        <v>0.061051459026876496</v>
      </c>
      <c r="E10" s="13">
        <f>'6.Проведення закупівель'!G85</f>
        <v>5786.58</v>
      </c>
      <c r="F10" s="14">
        <f>IF(E12=0,0,E10/E12)</f>
        <v>0.06105146546812683</v>
      </c>
      <c r="G10" s="13">
        <f>E10</f>
        <v>5786.58</v>
      </c>
      <c r="H10" s="13">
        <f>E10</f>
        <v>5786.58</v>
      </c>
      <c r="I10" s="13">
        <f>E10</f>
        <v>5786.58</v>
      </c>
      <c r="J10" s="13">
        <f>E10</f>
        <v>5786.58</v>
      </c>
      <c r="K10" s="2"/>
    </row>
    <row r="11" spans="1:11" ht="15" customHeight="1">
      <c r="A11" s="9" t="s">
        <v>24</v>
      </c>
      <c r="B11" s="10" t="s">
        <v>25</v>
      </c>
      <c r="C11" s="11">
        <f>E11+G11+H11+I11+J11</f>
        <v>6295</v>
      </c>
      <c r="D11" s="12">
        <f>IF(C12=0,0,C11/C12)</f>
        <v>0.013283111425891891</v>
      </c>
      <c r="E11" s="13">
        <f>'6.Проведення закупівель'!G90</f>
        <v>1259</v>
      </c>
      <c r="F11" s="14">
        <f>IF(E12=0,0,E11/E12)</f>
        <v>0.013283112827330077</v>
      </c>
      <c r="G11" s="13">
        <f>E11</f>
        <v>1259</v>
      </c>
      <c r="H11" s="13">
        <f>E11</f>
        <v>1259</v>
      </c>
      <c r="I11" s="13">
        <f>E11</f>
        <v>1259</v>
      </c>
      <c r="J11" s="13">
        <f>E11</f>
        <v>1259</v>
      </c>
      <c r="K11" s="2"/>
    </row>
    <row r="12" spans="1:11" ht="15" customHeight="1">
      <c r="A12" s="9"/>
      <c r="B12" s="10" t="s">
        <v>26</v>
      </c>
      <c r="C12" s="11">
        <f>SUM(C5:C11)</f>
        <v>473910.05000000016</v>
      </c>
      <c r="D12" s="12">
        <f>SUM(D5:D6,D7:D11)</f>
        <v>1</v>
      </c>
      <c r="E12" s="15">
        <f>SUM(E5:E11)-0.01</f>
        <v>94782.00000000004</v>
      </c>
      <c r="F12" s="12">
        <f>SUM(F5:F6,F7:F11)</f>
        <v>1.0000001055052645</v>
      </c>
      <c r="G12" s="15">
        <f>SUM(G5:G11)-0.01</f>
        <v>94782.00000000004</v>
      </c>
      <c r="H12" s="15">
        <f>G12</f>
        <v>94782.00000000004</v>
      </c>
      <c r="I12" s="15">
        <f>E12</f>
        <v>94782.00000000004</v>
      </c>
      <c r="J12" s="15">
        <f>E12</f>
        <v>94782.00000000004</v>
      </c>
      <c r="K12" s="2"/>
    </row>
    <row r="13" spans="1:11" ht="15" customHeight="1">
      <c r="A13" s="16"/>
      <c r="B13" s="17"/>
      <c r="C13" s="18"/>
      <c r="D13" s="19"/>
      <c r="E13" s="20"/>
      <c r="F13" s="19"/>
      <c r="G13" s="20"/>
      <c r="H13" s="20"/>
      <c r="I13" s="20"/>
      <c r="J13" s="21"/>
      <c r="K13" s="2"/>
    </row>
    <row r="14" spans="1:11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6.5" customHeight="1">
      <c r="A15" s="23"/>
      <c r="B15" s="24" t="s">
        <v>27</v>
      </c>
      <c r="C15" s="25" t="s">
        <v>28</v>
      </c>
      <c r="D15" s="25"/>
      <c r="E15" s="25"/>
      <c r="F15" s="26"/>
      <c r="G15" s="27" t="s">
        <v>29</v>
      </c>
      <c r="H15" s="28"/>
      <c r="I15" s="29"/>
      <c r="J15" s="28"/>
      <c r="K15" s="30"/>
    </row>
    <row r="16" spans="1:11" ht="15.75" customHeight="1">
      <c r="A16" s="29"/>
      <c r="B16" s="31"/>
      <c r="C16" s="28"/>
      <c r="D16" s="28" t="s">
        <v>30</v>
      </c>
      <c r="E16" s="29"/>
      <c r="F16" s="28"/>
      <c r="G16" s="28"/>
      <c r="H16" s="28"/>
      <c r="I16" s="32"/>
      <c r="J16" s="32"/>
      <c r="K16" s="30"/>
    </row>
    <row r="17" spans="1:11" ht="15.75" customHeight="1">
      <c r="A17" s="29"/>
      <c r="B17" s="31"/>
      <c r="C17" s="28"/>
      <c r="D17" s="28"/>
      <c r="E17" s="28"/>
      <c r="F17" s="28"/>
      <c r="G17" s="28"/>
      <c r="H17" s="28"/>
      <c r="I17" s="28"/>
      <c r="J17" s="28"/>
      <c r="K17" s="30"/>
    </row>
    <row r="18" spans="1:11" ht="15.75" customHeight="1">
      <c r="A18" s="29"/>
      <c r="B18" s="33" t="s">
        <v>31</v>
      </c>
      <c r="C18" s="28"/>
      <c r="D18" s="28"/>
      <c r="E18" s="28"/>
      <c r="F18" s="28"/>
      <c r="G18" s="28"/>
      <c r="H18" s="2"/>
      <c r="I18" s="28"/>
      <c r="J18" s="28"/>
      <c r="K18" s="30"/>
    </row>
    <row r="19" spans="1:11" ht="15.75" customHeight="1">
      <c r="A19" s="29"/>
      <c r="B19" s="34" t="s">
        <v>32</v>
      </c>
      <c r="C19" s="28"/>
      <c r="D19" s="28"/>
      <c r="E19" s="28"/>
      <c r="F19" s="28"/>
      <c r="G19" s="28"/>
      <c r="H19" s="2"/>
      <c r="I19" s="28"/>
      <c r="J19" s="28"/>
      <c r="K19" s="30"/>
    </row>
  </sheetData>
  <sheetProtection selectLockedCells="1" selectUnlockedCells="1"/>
  <mergeCells count="7">
    <mergeCell ref="A1:J1"/>
    <mergeCell ref="A2:A4"/>
    <mergeCell ref="B2:B4"/>
    <mergeCell ref="C2:D3"/>
    <mergeCell ref="E2:J2"/>
    <mergeCell ref="E3:F3"/>
    <mergeCell ref="C15:E15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1"/>
  <sheetViews>
    <sheetView view="pageBreakPreview" zoomScaleNormal="52" zoomScaleSheetLayoutView="100" workbookViewId="0" topLeftCell="A1">
      <selection activeCell="L11" sqref="L11"/>
    </sheetView>
  </sheetViews>
  <sheetFormatPr defaultColWidth="10.28125" defaultRowHeight="15" customHeight="1"/>
  <cols>
    <col min="1" max="1" width="4.28125" style="0" customWidth="1"/>
    <col min="2" max="2" width="29.57421875" style="0" customWidth="1"/>
    <col min="3" max="3" width="11.00390625" style="0" customWidth="1"/>
    <col min="4" max="4" width="12.00390625" style="0" customWidth="1"/>
    <col min="5" max="5" width="14.421875" style="0" customWidth="1"/>
    <col min="6" max="6" width="16.57421875" style="0" customWidth="1"/>
    <col min="7" max="7" width="18.421875" style="0" customWidth="1"/>
    <col min="8" max="8" width="14.00390625" style="0" customWidth="1"/>
    <col min="9" max="9" width="14.421875" style="0" customWidth="1"/>
    <col min="10" max="11" width="14.8515625" style="0" customWidth="1"/>
    <col min="12" max="12" width="15.00390625" style="0" customWidth="1"/>
    <col min="13" max="13" width="9.421875" style="0" customWidth="1"/>
    <col min="14" max="16384" width="10.421875" style="0" customWidth="1"/>
  </cols>
  <sheetData>
    <row r="1" spans="1:13" ht="12.75" customHeight="1">
      <c r="A1" s="1" t="s">
        <v>453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8" t="s">
        <v>1</v>
      </c>
      <c r="B2" s="8" t="s">
        <v>34</v>
      </c>
      <c r="C2" s="7" t="s">
        <v>3</v>
      </c>
      <c r="D2" s="7"/>
      <c r="E2" s="249" t="s">
        <v>4</v>
      </c>
      <c r="F2" s="249"/>
      <c r="G2" s="249"/>
      <c r="H2" s="249"/>
      <c r="I2" s="249"/>
      <c r="J2" s="249"/>
      <c r="K2" s="249"/>
      <c r="L2" s="8" t="s">
        <v>35</v>
      </c>
      <c r="M2" s="8" t="s">
        <v>36</v>
      </c>
    </row>
    <row r="3" spans="1:13" ht="48" customHeight="1">
      <c r="A3" s="8"/>
      <c r="B3" s="8"/>
      <c r="C3" s="7"/>
      <c r="D3" s="7"/>
      <c r="E3" s="250" t="s">
        <v>5</v>
      </c>
      <c r="F3" s="250"/>
      <c r="G3" s="250"/>
      <c r="H3" s="250" t="s">
        <v>6</v>
      </c>
      <c r="I3" s="250" t="s">
        <v>7</v>
      </c>
      <c r="J3" s="250" t="s">
        <v>8</v>
      </c>
      <c r="K3" s="250" t="s">
        <v>9</v>
      </c>
      <c r="L3" s="8"/>
      <c r="M3" s="8"/>
    </row>
    <row r="4" spans="1:13" ht="15" customHeight="1">
      <c r="A4" s="8"/>
      <c r="B4" s="8"/>
      <c r="C4" s="8" t="s">
        <v>10</v>
      </c>
      <c r="D4" s="8" t="s">
        <v>11</v>
      </c>
      <c r="E4" s="8" t="s">
        <v>38</v>
      </c>
      <c r="F4" s="8"/>
      <c r="G4" s="8" t="s">
        <v>394</v>
      </c>
      <c r="H4" s="8" t="s">
        <v>454</v>
      </c>
      <c r="I4" s="8" t="s">
        <v>10</v>
      </c>
      <c r="J4" s="8" t="s">
        <v>10</v>
      </c>
      <c r="K4" s="249" t="s">
        <v>10</v>
      </c>
      <c r="L4" s="8"/>
      <c r="M4" s="8"/>
    </row>
    <row r="5" spans="1:13" ht="32.25" customHeight="1">
      <c r="A5" s="8"/>
      <c r="B5" s="8"/>
      <c r="C5" s="8"/>
      <c r="D5" s="8"/>
      <c r="E5" s="8" t="s">
        <v>10</v>
      </c>
      <c r="F5" s="8" t="s">
        <v>11</v>
      </c>
      <c r="G5" s="8"/>
      <c r="H5" s="8"/>
      <c r="I5" s="8"/>
      <c r="J5" s="8"/>
      <c r="K5" s="249"/>
      <c r="L5" s="7" t="s">
        <v>43</v>
      </c>
      <c r="M5" s="8"/>
    </row>
    <row r="6" spans="1:13" ht="15" customHeight="1">
      <c r="A6" s="251">
        <v>1</v>
      </c>
      <c r="B6" s="252">
        <v>2</v>
      </c>
      <c r="C6" s="251">
        <v>3</v>
      </c>
      <c r="D6" s="251">
        <v>4</v>
      </c>
      <c r="E6" s="251">
        <v>5</v>
      </c>
      <c r="F6" s="251">
        <v>6</v>
      </c>
      <c r="G6" s="253">
        <v>7</v>
      </c>
      <c r="H6" s="251">
        <v>8</v>
      </c>
      <c r="I6" s="251">
        <v>9</v>
      </c>
      <c r="J6" s="251">
        <v>10</v>
      </c>
      <c r="K6" s="252">
        <v>11</v>
      </c>
      <c r="L6" s="251">
        <v>12</v>
      </c>
      <c r="M6" s="251">
        <v>13</v>
      </c>
    </row>
    <row r="7" spans="1:13" ht="30.75" customHeight="1">
      <c r="A7" s="254">
        <v>1</v>
      </c>
      <c r="B7" s="255" t="s">
        <v>455</v>
      </c>
      <c r="C7" s="256">
        <f>E7+H7+I7+J7+K7</f>
        <v>3116.5</v>
      </c>
      <c r="D7" s="257">
        <f>C7/C11</f>
        <v>0.10771474687984958</v>
      </c>
      <c r="E7" s="258">
        <v>623.3</v>
      </c>
      <c r="F7" s="257">
        <f>E7/E11</f>
        <v>0.10771474687984958</v>
      </c>
      <c r="G7" s="254"/>
      <c r="H7" s="258">
        <v>623.3</v>
      </c>
      <c r="I7" s="258">
        <v>623.3</v>
      </c>
      <c r="J7" s="258">
        <v>623.3</v>
      </c>
      <c r="K7" s="258">
        <f>E7</f>
        <v>623.3</v>
      </c>
      <c r="L7" s="259">
        <v>163</v>
      </c>
      <c r="M7" s="254"/>
    </row>
    <row r="8" spans="1:13" ht="30.75" customHeight="1">
      <c r="A8" s="254">
        <v>2</v>
      </c>
      <c r="B8" s="255" t="s">
        <v>456</v>
      </c>
      <c r="C8" s="256">
        <f>E8+H8+I8+J8+K8</f>
        <v>4250</v>
      </c>
      <c r="D8" s="257">
        <f>C8/C11</f>
        <v>0.14689160091107353</v>
      </c>
      <c r="E8" s="258">
        <v>850</v>
      </c>
      <c r="F8" s="257">
        <f>E8/E11</f>
        <v>0.14689160091107356</v>
      </c>
      <c r="G8" s="254"/>
      <c r="H8" s="258">
        <f>E8</f>
        <v>850</v>
      </c>
      <c r="I8" s="258">
        <f>E8</f>
        <v>850</v>
      </c>
      <c r="J8" s="258">
        <f>E8</f>
        <v>850</v>
      </c>
      <c r="K8" s="258">
        <f>E8</f>
        <v>850</v>
      </c>
      <c r="L8" s="259">
        <v>163</v>
      </c>
      <c r="M8" s="254"/>
    </row>
    <row r="9" spans="1:13" ht="30.75" customHeight="1">
      <c r="A9" s="254">
        <v>3</v>
      </c>
      <c r="B9" s="255" t="s">
        <v>457</v>
      </c>
      <c r="C9" s="256">
        <f>E9+H9+I9+J9+K9</f>
        <v>18587.4</v>
      </c>
      <c r="D9" s="257">
        <f>C9/C11</f>
        <v>0.6424312806528208</v>
      </c>
      <c r="E9" s="258">
        <v>3717.48</v>
      </c>
      <c r="F9" s="257">
        <f>E9/E11</f>
        <v>0.6424312806528208</v>
      </c>
      <c r="G9" s="254"/>
      <c r="H9" s="258">
        <v>3717.48</v>
      </c>
      <c r="I9" s="258">
        <v>3717.48</v>
      </c>
      <c r="J9" s="258">
        <v>3717.48</v>
      </c>
      <c r="K9" s="258">
        <v>3717.48</v>
      </c>
      <c r="L9" s="259">
        <v>163</v>
      </c>
      <c r="M9" s="254"/>
    </row>
    <row r="10" spans="1:13" ht="45" customHeight="1">
      <c r="A10" s="254">
        <v>4</v>
      </c>
      <c r="B10" s="125" t="s">
        <v>458</v>
      </c>
      <c r="C10" s="256">
        <f>E10+H10+I10+J10+K10</f>
        <v>2979</v>
      </c>
      <c r="D10" s="257">
        <f>C10/C11</f>
        <v>0.10296237155625602</v>
      </c>
      <c r="E10" s="258">
        <v>595.8</v>
      </c>
      <c r="F10" s="257">
        <f>E10/E11</f>
        <v>0.10296237155625602</v>
      </c>
      <c r="G10" s="254"/>
      <c r="H10" s="258">
        <v>595.8</v>
      </c>
      <c r="I10" s="258">
        <v>595.8</v>
      </c>
      <c r="J10" s="258">
        <v>595.8</v>
      </c>
      <c r="K10" s="258">
        <v>595.8</v>
      </c>
      <c r="L10" s="259">
        <v>163</v>
      </c>
      <c r="M10" s="254"/>
    </row>
    <row r="11" spans="1:13" ht="15.75" customHeight="1">
      <c r="A11" s="260"/>
      <c r="B11" s="261" t="s">
        <v>408</v>
      </c>
      <c r="C11" s="262">
        <f>SUM(C7:C10)</f>
        <v>28932.9</v>
      </c>
      <c r="D11" s="263">
        <f>SUM(D7:D10)</f>
        <v>1</v>
      </c>
      <c r="E11" s="262">
        <f>SUM(E7:E10)</f>
        <v>5786.58</v>
      </c>
      <c r="F11" s="263">
        <f>SUM(F7:F10)</f>
        <v>1</v>
      </c>
      <c r="G11" s="264"/>
      <c r="H11" s="262">
        <f>SUM(H7:H10)</f>
        <v>5786.58</v>
      </c>
      <c r="I11" s="262">
        <f>SUM(I7:I10)</f>
        <v>5786.58</v>
      </c>
      <c r="J11" s="262">
        <f>SUM(J7:J10)</f>
        <v>5786.58</v>
      </c>
      <c r="K11" s="262">
        <f>SUM(K7:K10)</f>
        <v>5786.58</v>
      </c>
      <c r="L11" s="264"/>
      <c r="M11" s="265"/>
    </row>
  </sheetData>
  <sheetProtection selectLockedCells="1" selectUnlockedCells="1"/>
  <mergeCells count="16">
    <mergeCell ref="A1:M1"/>
    <mergeCell ref="A2:A5"/>
    <mergeCell ref="B2:B5"/>
    <mergeCell ref="C2:D3"/>
    <mergeCell ref="E2:K2"/>
    <mergeCell ref="L2:L4"/>
    <mergeCell ref="M2:M5"/>
    <mergeCell ref="E3:G3"/>
    <mergeCell ref="C4:C5"/>
    <mergeCell ref="D4:D5"/>
    <mergeCell ref="E4:F4"/>
    <mergeCell ref="G4:G5"/>
    <mergeCell ref="H4:H5"/>
    <mergeCell ref="I4:I5"/>
    <mergeCell ref="J4:J5"/>
    <mergeCell ref="K4:K5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1"/>
  <sheetViews>
    <sheetView view="pageBreakPreview" zoomScaleNormal="52" zoomScaleSheetLayoutView="100" workbookViewId="0" topLeftCell="A1">
      <selection activeCell="L11" sqref="L11"/>
    </sheetView>
  </sheetViews>
  <sheetFormatPr defaultColWidth="10.28125" defaultRowHeight="12.75" customHeight="1"/>
  <cols>
    <col min="1" max="1" width="5.8515625" style="266" customWidth="1"/>
    <col min="2" max="2" width="56.00390625" style="266" customWidth="1"/>
    <col min="3" max="3" width="13.7109375" style="266" customWidth="1"/>
    <col min="4" max="4" width="10.28125" style="266" customWidth="1"/>
    <col min="5" max="5" width="14.57421875" style="266" customWidth="1"/>
    <col min="6" max="6" width="17.28125" style="266" customWidth="1"/>
    <col min="7" max="7" width="19.140625" style="266" customWidth="1"/>
    <col min="8" max="8" width="15.140625" style="266" customWidth="1"/>
    <col min="9" max="10" width="14.140625" style="266" customWidth="1"/>
    <col min="11" max="11" width="14.57421875" style="266" customWidth="1"/>
    <col min="12" max="12" width="17.57421875" style="266" customWidth="1"/>
    <col min="13" max="13" width="11.8515625" style="266" customWidth="1"/>
    <col min="14" max="14" width="7.57421875" style="266" customWidth="1"/>
    <col min="15" max="16384" width="9.57421875" style="266" customWidth="1"/>
  </cols>
  <sheetData>
    <row r="1" spans="1:13" s="267" customFormat="1" ht="12.75" customHeight="1">
      <c r="A1" s="1" t="s">
        <v>459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71" customFormat="1" ht="18" customHeight="1">
      <c r="A2" s="268" t="s">
        <v>1</v>
      </c>
      <c r="B2" s="268" t="s">
        <v>34</v>
      </c>
      <c r="C2" s="269" t="s">
        <v>3</v>
      </c>
      <c r="D2" s="269"/>
      <c r="E2" s="270" t="s">
        <v>4</v>
      </c>
      <c r="F2" s="270"/>
      <c r="G2" s="270"/>
      <c r="H2" s="270"/>
      <c r="I2" s="270"/>
      <c r="J2" s="270"/>
      <c r="K2" s="270"/>
      <c r="L2" s="268" t="s">
        <v>35</v>
      </c>
      <c r="M2" s="268" t="s">
        <v>36</v>
      </c>
    </row>
    <row r="3" spans="1:13" s="271" customFormat="1" ht="37.5" customHeight="1">
      <c r="A3" s="268"/>
      <c r="B3" s="268"/>
      <c r="C3" s="269"/>
      <c r="D3" s="269"/>
      <c r="E3" s="272" t="s">
        <v>5</v>
      </c>
      <c r="F3" s="272"/>
      <c r="G3" s="272"/>
      <c r="H3" s="272" t="s">
        <v>6</v>
      </c>
      <c r="I3" s="272" t="s">
        <v>7</v>
      </c>
      <c r="J3" s="272" t="s">
        <v>8</v>
      </c>
      <c r="K3" s="272" t="s">
        <v>9</v>
      </c>
      <c r="L3" s="268"/>
      <c r="M3" s="268"/>
    </row>
    <row r="4" spans="1:13" s="271" customFormat="1" ht="25.5" customHeight="1">
      <c r="A4" s="268"/>
      <c r="B4" s="268"/>
      <c r="C4" s="268" t="s">
        <v>37</v>
      </c>
      <c r="D4" s="268" t="s">
        <v>11</v>
      </c>
      <c r="E4" s="268" t="s">
        <v>38</v>
      </c>
      <c r="F4" s="268"/>
      <c r="G4" s="268" t="s">
        <v>394</v>
      </c>
      <c r="H4" s="268" t="s">
        <v>37</v>
      </c>
      <c r="I4" s="268" t="s">
        <v>37</v>
      </c>
      <c r="J4" s="268" t="s">
        <v>37</v>
      </c>
      <c r="K4" s="270" t="s">
        <v>37</v>
      </c>
      <c r="L4" s="268"/>
      <c r="M4" s="268"/>
    </row>
    <row r="5" spans="1:13" s="271" customFormat="1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70"/>
      <c r="L5" s="268"/>
      <c r="M5" s="268"/>
    </row>
    <row r="6" spans="1:13" s="271" customFormat="1" ht="24" customHeight="1">
      <c r="A6" s="268"/>
      <c r="B6" s="268"/>
      <c r="C6" s="268"/>
      <c r="D6" s="268"/>
      <c r="E6" s="268" t="s">
        <v>37</v>
      </c>
      <c r="F6" s="268" t="s">
        <v>11</v>
      </c>
      <c r="G6" s="268"/>
      <c r="H6" s="268"/>
      <c r="I6" s="268"/>
      <c r="J6" s="268"/>
      <c r="K6" s="270"/>
      <c r="L6" s="269" t="s">
        <v>43</v>
      </c>
      <c r="M6" s="268"/>
    </row>
    <row r="7" spans="1:13" s="271" customFormat="1" ht="15" customHeight="1">
      <c r="A7" s="273">
        <v>1</v>
      </c>
      <c r="B7" s="274">
        <v>2</v>
      </c>
      <c r="C7" s="275">
        <v>3</v>
      </c>
      <c r="D7" s="275">
        <v>4</v>
      </c>
      <c r="E7" s="275">
        <v>5</v>
      </c>
      <c r="F7" s="275">
        <v>6</v>
      </c>
      <c r="G7" s="276">
        <v>7</v>
      </c>
      <c r="H7" s="275">
        <v>8</v>
      </c>
      <c r="I7" s="275">
        <v>9</v>
      </c>
      <c r="J7" s="275">
        <v>10</v>
      </c>
      <c r="K7" s="277">
        <v>11</v>
      </c>
      <c r="L7" s="278">
        <v>12</v>
      </c>
      <c r="M7" s="278">
        <v>13</v>
      </c>
    </row>
    <row r="8" spans="1:13" s="286" customFormat="1" ht="32.25" customHeight="1">
      <c r="A8" s="279">
        <v>1</v>
      </c>
      <c r="B8" s="280" t="s">
        <v>460</v>
      </c>
      <c r="C8" s="281">
        <f>E8+H8+I8+J8+K8</f>
        <v>53</v>
      </c>
      <c r="D8" s="282">
        <f>C8/C11</f>
        <v>0.008419380460683083</v>
      </c>
      <c r="E8" s="283">
        <v>10.6</v>
      </c>
      <c r="F8" s="284">
        <f>E8/E11</f>
        <v>0.00841938046068308</v>
      </c>
      <c r="G8" s="279"/>
      <c r="H8" s="283">
        <v>10.6</v>
      </c>
      <c r="I8" s="283">
        <v>10.6</v>
      </c>
      <c r="J8" s="283">
        <v>10.6</v>
      </c>
      <c r="K8" s="283">
        <v>10.6</v>
      </c>
      <c r="L8" s="285">
        <v>165</v>
      </c>
      <c r="M8" s="279"/>
    </row>
    <row r="9" spans="1:13" s="286" customFormat="1" ht="32.25" customHeight="1">
      <c r="A9" s="279">
        <v>2</v>
      </c>
      <c r="B9" s="287" t="s">
        <v>461</v>
      </c>
      <c r="C9" s="281">
        <f>E9+H9+I9+J9+K9</f>
        <v>242</v>
      </c>
      <c r="D9" s="282">
        <f>C9/C11</f>
        <v>0.03844320889594917</v>
      </c>
      <c r="E9" s="288">
        <v>48.4</v>
      </c>
      <c r="F9" s="284">
        <f>E9/E11</f>
        <v>0.03844320889594916</v>
      </c>
      <c r="G9" s="279"/>
      <c r="H9" s="288">
        <v>48.4</v>
      </c>
      <c r="I9" s="288">
        <v>48.4</v>
      </c>
      <c r="J9" s="288">
        <v>48.4</v>
      </c>
      <c r="K9" s="288">
        <v>48.4</v>
      </c>
      <c r="L9" s="285">
        <v>166</v>
      </c>
      <c r="M9" s="279"/>
    </row>
    <row r="10" spans="1:13" s="286" customFormat="1" ht="32.25" customHeight="1">
      <c r="A10" s="279">
        <v>3</v>
      </c>
      <c r="B10" s="125" t="s">
        <v>462</v>
      </c>
      <c r="C10" s="281">
        <f>E10+H10+I10+J10+K10</f>
        <v>6000</v>
      </c>
      <c r="D10" s="282">
        <f>C10/C11</f>
        <v>0.9531374106433678</v>
      </c>
      <c r="E10" s="288">
        <v>1200</v>
      </c>
      <c r="F10" s="284">
        <f>E10/E11</f>
        <v>0.9531374106433678</v>
      </c>
      <c r="G10" s="279"/>
      <c r="H10" s="288">
        <v>1200</v>
      </c>
      <c r="I10" s="288">
        <v>1200</v>
      </c>
      <c r="J10" s="288">
        <v>1200</v>
      </c>
      <c r="K10" s="288">
        <v>1200</v>
      </c>
      <c r="L10" s="285">
        <v>167</v>
      </c>
      <c r="M10" s="279"/>
    </row>
    <row r="11" spans="1:13" s="294" customFormat="1" ht="15.75" customHeight="1">
      <c r="A11" s="289"/>
      <c r="B11" s="290" t="s">
        <v>408</v>
      </c>
      <c r="C11" s="291">
        <f>E11+H11+I11+J11+K11</f>
        <v>6295</v>
      </c>
      <c r="D11" s="292">
        <f>SUM(D8:D10)</f>
        <v>1</v>
      </c>
      <c r="E11" s="293">
        <f>SUM(E8:E10)</f>
        <v>1259</v>
      </c>
      <c r="F11" s="292">
        <f>SUM(F8:F9)</f>
        <v>0.04686258935663224</v>
      </c>
      <c r="G11" s="289"/>
      <c r="H11" s="293">
        <f>SUM(H8:H10)</f>
        <v>1259</v>
      </c>
      <c r="I11" s="293">
        <f>SUM(I8:I10)</f>
        <v>1259</v>
      </c>
      <c r="J11" s="293">
        <f>SUM(J8:J10)</f>
        <v>1259</v>
      </c>
      <c r="K11" s="293">
        <f>SUM(K8:K10)</f>
        <v>1259</v>
      </c>
      <c r="L11" s="289"/>
      <c r="M11" s="289"/>
    </row>
    <row r="17" ht="15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A1:M1"/>
    <mergeCell ref="A2:A6"/>
    <mergeCell ref="B2:B6"/>
    <mergeCell ref="C2:D3"/>
    <mergeCell ref="E2:K2"/>
    <mergeCell ref="L2:L5"/>
    <mergeCell ref="M2:M6"/>
    <mergeCell ref="E3:G3"/>
    <mergeCell ref="C4:C6"/>
    <mergeCell ref="D4:D6"/>
    <mergeCell ref="E4:F5"/>
    <mergeCell ref="G4:G6"/>
    <mergeCell ref="H4:H6"/>
    <mergeCell ref="I4:I6"/>
    <mergeCell ref="J4:J6"/>
    <mergeCell ref="K4:K6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T96"/>
  <sheetViews>
    <sheetView tabSelected="1" view="pageBreakPreview" zoomScaleNormal="90" zoomScaleSheetLayoutView="100" workbookViewId="0" topLeftCell="A43">
      <selection activeCell="A60" sqref="A60"/>
    </sheetView>
  </sheetViews>
  <sheetFormatPr defaultColWidth="9.140625" defaultRowHeight="15" customHeight="1"/>
  <cols>
    <col min="1" max="1" width="6.57421875" style="0" customWidth="1"/>
    <col min="2" max="2" width="25.8515625" style="0" customWidth="1"/>
    <col min="3" max="3" width="84.28125" style="0" customWidth="1"/>
    <col min="4" max="4" width="11.00390625" style="0" customWidth="1"/>
    <col min="5" max="5" width="13.28125" style="0" customWidth="1"/>
    <col min="6" max="6" width="16.57421875" style="0" customWidth="1"/>
    <col min="7" max="7" width="18.28125" style="0" customWidth="1"/>
    <col min="8" max="15" width="13.00390625" style="0" customWidth="1"/>
    <col min="16" max="16" width="18.140625" style="0" customWidth="1"/>
    <col min="17" max="17" width="13.8515625" style="0" customWidth="1"/>
    <col min="18" max="18" width="16.7109375" style="0" customWidth="1"/>
    <col min="19" max="19" width="15.421875" style="0" customWidth="1"/>
    <col min="20" max="20" width="14.421875" style="0" customWidth="1"/>
  </cols>
  <sheetData>
    <row r="1" spans="1:20" ht="12.75" customHeight="1">
      <c r="A1" s="295" t="s">
        <v>463</v>
      </c>
      <c r="B1" s="295"/>
      <c r="C1" s="295"/>
      <c r="D1" s="295"/>
      <c r="E1" s="295"/>
      <c r="F1" s="295"/>
      <c r="G1" s="295"/>
      <c r="H1" s="295" t="s">
        <v>464</v>
      </c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ht="18" customHeight="1">
      <c r="A2" s="296" t="s">
        <v>1</v>
      </c>
      <c r="B2" s="296" t="s">
        <v>465</v>
      </c>
      <c r="C2" s="296" t="s">
        <v>466</v>
      </c>
      <c r="D2" s="296" t="s">
        <v>467</v>
      </c>
      <c r="E2" s="296" t="s">
        <v>468</v>
      </c>
      <c r="F2" s="296" t="s">
        <v>26</v>
      </c>
      <c r="G2" s="296"/>
      <c r="H2" s="296" t="s">
        <v>469</v>
      </c>
      <c r="I2" s="296"/>
      <c r="J2" s="296"/>
      <c r="K2" s="296"/>
      <c r="L2" s="296"/>
      <c r="M2" s="296"/>
      <c r="N2" s="296"/>
      <c r="O2" s="296"/>
      <c r="P2" s="296" t="s">
        <v>470</v>
      </c>
      <c r="Q2" s="296" t="s">
        <v>471</v>
      </c>
      <c r="R2" s="296" t="s">
        <v>472</v>
      </c>
      <c r="S2" s="296" t="s">
        <v>473</v>
      </c>
      <c r="T2" s="296" t="s">
        <v>474</v>
      </c>
    </row>
    <row r="3" spans="1:20" ht="18" customHeight="1">
      <c r="A3" s="296"/>
      <c r="B3" s="296"/>
      <c r="C3" s="296"/>
      <c r="D3" s="296"/>
      <c r="E3" s="296"/>
      <c r="F3" s="296" t="s">
        <v>475</v>
      </c>
      <c r="G3" s="297" t="s">
        <v>476</v>
      </c>
      <c r="H3" s="296" t="s">
        <v>477</v>
      </c>
      <c r="I3" s="296"/>
      <c r="J3" s="296" t="s">
        <v>478</v>
      </c>
      <c r="K3" s="296"/>
      <c r="L3" s="296" t="s">
        <v>479</v>
      </c>
      <c r="M3" s="296"/>
      <c r="N3" s="296" t="s">
        <v>480</v>
      </c>
      <c r="O3" s="296"/>
      <c r="P3" s="296"/>
      <c r="Q3" s="296"/>
      <c r="R3" s="296"/>
      <c r="S3" s="296"/>
      <c r="T3" s="296"/>
    </row>
    <row r="4" spans="1:20" ht="15.75" customHeight="1">
      <c r="A4" s="296"/>
      <c r="B4" s="296"/>
      <c r="C4" s="296"/>
      <c r="D4" s="296"/>
      <c r="E4" s="296"/>
      <c r="F4" s="296"/>
      <c r="G4" s="297"/>
      <c r="H4" s="296" t="s">
        <v>475</v>
      </c>
      <c r="I4" s="296" t="s">
        <v>476</v>
      </c>
      <c r="J4" s="296" t="s">
        <v>475</v>
      </c>
      <c r="K4" s="296" t="s">
        <v>476</v>
      </c>
      <c r="L4" s="296" t="s">
        <v>475</v>
      </c>
      <c r="M4" s="296" t="s">
        <v>476</v>
      </c>
      <c r="N4" s="296" t="s">
        <v>475</v>
      </c>
      <c r="O4" s="296" t="s">
        <v>476</v>
      </c>
      <c r="P4" s="296"/>
      <c r="Q4" s="296"/>
      <c r="R4" s="296"/>
      <c r="S4" s="296"/>
      <c r="T4" s="296"/>
    </row>
    <row r="5" spans="1:20" ht="26.25" customHeight="1">
      <c r="A5" s="296"/>
      <c r="B5" s="296"/>
      <c r="C5" s="296"/>
      <c r="D5" s="296"/>
      <c r="E5" s="296"/>
      <c r="F5" s="296"/>
      <c r="G5" s="297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</row>
    <row r="6" spans="1:20" ht="12.75" customHeight="1">
      <c r="A6" s="296">
        <v>1</v>
      </c>
      <c r="B6" s="296"/>
      <c r="C6" s="296">
        <v>2</v>
      </c>
      <c r="D6" s="296">
        <v>3</v>
      </c>
      <c r="E6" s="296">
        <v>4</v>
      </c>
      <c r="F6" s="296">
        <v>5</v>
      </c>
      <c r="G6" s="298">
        <v>6</v>
      </c>
      <c r="H6" s="296">
        <v>7</v>
      </c>
      <c r="I6" s="296">
        <v>8</v>
      </c>
      <c r="J6" s="296">
        <v>9</v>
      </c>
      <c r="K6" s="296">
        <v>10</v>
      </c>
      <c r="L6" s="296">
        <v>11</v>
      </c>
      <c r="M6" s="296">
        <v>12</v>
      </c>
      <c r="N6" s="296">
        <v>13</v>
      </c>
      <c r="O6" s="296">
        <v>14</v>
      </c>
      <c r="P6" s="296">
        <v>15</v>
      </c>
      <c r="Q6" s="296">
        <v>16</v>
      </c>
      <c r="R6" s="296">
        <v>17</v>
      </c>
      <c r="S6" s="296">
        <v>18</v>
      </c>
      <c r="T6" s="296">
        <v>19</v>
      </c>
    </row>
    <row r="7" spans="1:20" ht="14.25" customHeight="1">
      <c r="A7" s="299" t="s">
        <v>481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</row>
    <row r="8" spans="1:20" s="62" customFormat="1" ht="14.25" customHeight="1">
      <c r="A8" s="300">
        <v>1</v>
      </c>
      <c r="B8" s="301" t="s">
        <v>482</v>
      </c>
      <c r="C8" s="120" t="s">
        <v>105</v>
      </c>
      <c r="D8" s="302" t="s">
        <v>483</v>
      </c>
      <c r="E8" s="121">
        <v>1140</v>
      </c>
      <c r="F8" s="303">
        <f>G8/E8</f>
        <v>19.773292690058508</v>
      </c>
      <c r="G8" s="122">
        <f>8300+22325.995-8690-0.2693333333+800+205.828-400</f>
        <v>22541.5536666667</v>
      </c>
      <c r="H8" s="304">
        <f>F8/4</f>
        <v>4.943323172514627</v>
      </c>
      <c r="I8" s="304">
        <f>G8/4</f>
        <v>5635.388416666675</v>
      </c>
      <c r="J8" s="304">
        <f>H8</f>
        <v>4.943323172514627</v>
      </c>
      <c r="K8" s="305">
        <f>I8</f>
        <v>5635.388416666675</v>
      </c>
      <c r="L8" s="304">
        <f>J8</f>
        <v>4.943323172514627</v>
      </c>
      <c r="M8" s="305">
        <f>K8</f>
        <v>5635.388416666675</v>
      </c>
      <c r="N8" s="304">
        <f>L8</f>
        <v>4.943323172514627</v>
      </c>
      <c r="O8" s="305">
        <f>M8</f>
        <v>5635.388416666675</v>
      </c>
      <c r="P8" s="296" t="s">
        <v>484</v>
      </c>
      <c r="Q8" s="296"/>
      <c r="R8" s="300">
        <v>80</v>
      </c>
      <c r="S8" s="300"/>
      <c r="T8" s="306"/>
    </row>
    <row r="9" spans="1:20" s="62" customFormat="1" ht="14.25" customHeight="1">
      <c r="A9" s="300">
        <v>2</v>
      </c>
      <c r="B9" s="301" t="s">
        <v>485</v>
      </c>
      <c r="C9" s="120" t="s">
        <v>109</v>
      </c>
      <c r="D9" s="302" t="s">
        <v>483</v>
      </c>
      <c r="E9" s="121">
        <f>G9/F9</f>
        <v>1476.0111386558901</v>
      </c>
      <c r="F9" s="303">
        <v>2.9447</v>
      </c>
      <c r="G9" s="122">
        <v>4346.41</v>
      </c>
      <c r="H9" s="304">
        <f>F9/4</f>
        <v>0.736175</v>
      </c>
      <c r="I9" s="304">
        <f>G9/4</f>
        <v>1086.6025</v>
      </c>
      <c r="J9" s="304">
        <f>H9</f>
        <v>0.736175</v>
      </c>
      <c r="K9" s="305">
        <f>I9</f>
        <v>1086.6025</v>
      </c>
      <c r="L9" s="304">
        <f>J9</f>
        <v>0.736175</v>
      </c>
      <c r="M9" s="305">
        <f>K9</f>
        <v>1086.6025</v>
      </c>
      <c r="N9" s="304">
        <f>L9</f>
        <v>0.736175</v>
      </c>
      <c r="O9" s="305">
        <f>M9</f>
        <v>1086.6025</v>
      </c>
      <c r="P9" s="296" t="s">
        <v>484</v>
      </c>
      <c r="Q9" s="296"/>
      <c r="R9" s="300">
        <v>81</v>
      </c>
      <c r="S9" s="300"/>
      <c r="T9" s="306"/>
    </row>
    <row r="10" spans="1:20" s="308" customFormat="1" ht="19.5" customHeight="1">
      <c r="A10" s="300">
        <v>3</v>
      </c>
      <c r="B10" s="301" t="s">
        <v>486</v>
      </c>
      <c r="C10" s="120" t="s">
        <v>487</v>
      </c>
      <c r="D10" s="302" t="s">
        <v>483</v>
      </c>
      <c r="E10" s="121">
        <v>246.8</v>
      </c>
      <c r="F10" s="307">
        <v>35.137</v>
      </c>
      <c r="G10" s="122">
        <f>F10*E10</f>
        <v>8671.8116</v>
      </c>
      <c r="H10" s="304">
        <f>F10/4</f>
        <v>8.78425</v>
      </c>
      <c r="I10" s="304">
        <f>G10/4</f>
        <v>2167.9529</v>
      </c>
      <c r="J10" s="304">
        <f>H10</f>
        <v>8.78425</v>
      </c>
      <c r="K10" s="305">
        <f>I10</f>
        <v>2167.9529</v>
      </c>
      <c r="L10" s="304">
        <f>J10</f>
        <v>8.78425</v>
      </c>
      <c r="M10" s="305">
        <f>K10</f>
        <v>2167.9529</v>
      </c>
      <c r="N10" s="304">
        <f>L10</f>
        <v>8.78425</v>
      </c>
      <c r="O10" s="305">
        <f>M10</f>
        <v>2167.9529</v>
      </c>
      <c r="P10" s="296" t="s">
        <v>484</v>
      </c>
      <c r="Q10" s="296"/>
      <c r="R10" s="300">
        <v>82</v>
      </c>
      <c r="S10" s="300"/>
      <c r="T10" s="306"/>
    </row>
    <row r="11" spans="1:20" s="308" customFormat="1" ht="15.75" customHeight="1">
      <c r="A11" s="300">
        <v>4</v>
      </c>
      <c r="B11" s="301" t="s">
        <v>488</v>
      </c>
      <c r="C11" s="309" t="s">
        <v>489</v>
      </c>
      <c r="D11" s="296" t="s">
        <v>483</v>
      </c>
      <c r="E11" s="121">
        <f>G11/F11</f>
        <v>910.167638483965</v>
      </c>
      <c r="F11" s="122">
        <v>6.86</v>
      </c>
      <c r="G11" s="122">
        <v>6243.75</v>
      </c>
      <c r="H11" s="304">
        <f>F11/4</f>
        <v>1.715</v>
      </c>
      <c r="I11" s="304">
        <f>G11/4</f>
        <v>1560.9375</v>
      </c>
      <c r="J11" s="304">
        <f>H11</f>
        <v>1.715</v>
      </c>
      <c r="K11" s="305">
        <f>I11</f>
        <v>1560.9375</v>
      </c>
      <c r="L11" s="304">
        <f>J11</f>
        <v>1.715</v>
      </c>
      <c r="M11" s="305">
        <f>K11</f>
        <v>1560.9375</v>
      </c>
      <c r="N11" s="304">
        <f>L11</f>
        <v>1.715</v>
      </c>
      <c r="O11" s="305">
        <f>M11</f>
        <v>1560.9375</v>
      </c>
      <c r="P11" s="296" t="s">
        <v>484</v>
      </c>
      <c r="Q11" s="296"/>
      <c r="R11" s="300">
        <v>89</v>
      </c>
      <c r="S11" s="300"/>
      <c r="T11" s="300"/>
    </row>
    <row r="12" spans="1:20" s="308" customFormat="1" ht="15.75" customHeight="1">
      <c r="A12" s="300">
        <v>5</v>
      </c>
      <c r="B12" s="310" t="s">
        <v>490</v>
      </c>
      <c r="C12" s="120" t="s">
        <v>490</v>
      </c>
      <c r="D12" s="302" t="s">
        <v>483</v>
      </c>
      <c r="E12" s="121">
        <f>G12/F12</f>
        <v>792.8571428571429</v>
      </c>
      <c r="F12" s="122">
        <v>1.925</v>
      </c>
      <c r="G12" s="122">
        <v>1526.25</v>
      </c>
      <c r="H12" s="304">
        <f>F12/4</f>
        <v>0.48125</v>
      </c>
      <c r="I12" s="304">
        <f>G12/4</f>
        <v>381.5625</v>
      </c>
      <c r="J12" s="304">
        <f>H12</f>
        <v>0.48125</v>
      </c>
      <c r="K12" s="305">
        <f>I12</f>
        <v>381.5625</v>
      </c>
      <c r="L12" s="304">
        <f>J12</f>
        <v>0.48125</v>
      </c>
      <c r="M12" s="305">
        <f>K12</f>
        <v>381.5625</v>
      </c>
      <c r="N12" s="304">
        <f>L12</f>
        <v>0.48125</v>
      </c>
      <c r="O12" s="305">
        <f>M12</f>
        <v>381.5625</v>
      </c>
      <c r="P12" s="296" t="s">
        <v>484</v>
      </c>
      <c r="Q12" s="296"/>
      <c r="R12" s="300">
        <v>92</v>
      </c>
      <c r="S12" s="300"/>
      <c r="T12" s="306"/>
    </row>
    <row r="13" spans="1:20" s="313" customFormat="1" ht="31.5" customHeight="1">
      <c r="A13" s="300">
        <v>6</v>
      </c>
      <c r="B13" s="301" t="s">
        <v>491</v>
      </c>
      <c r="C13" s="125" t="s">
        <v>188</v>
      </c>
      <c r="D13" s="302" t="s">
        <v>492</v>
      </c>
      <c r="E13" s="311">
        <v>0.426</v>
      </c>
      <c r="F13" s="124">
        <v>3800</v>
      </c>
      <c r="G13" s="124">
        <f>E13*F13</f>
        <v>1618.8</v>
      </c>
      <c r="H13" s="304">
        <f>F13/4</f>
        <v>950</v>
      </c>
      <c r="I13" s="304">
        <f>G13/4</f>
        <v>404.7</v>
      </c>
      <c r="J13" s="304">
        <f>H13</f>
        <v>950</v>
      </c>
      <c r="K13" s="305">
        <f>I13</f>
        <v>404.7</v>
      </c>
      <c r="L13" s="304">
        <f>J13</f>
        <v>950</v>
      </c>
      <c r="M13" s="305">
        <f>K13</f>
        <v>404.7</v>
      </c>
      <c r="N13" s="304">
        <f>L13</f>
        <v>950</v>
      </c>
      <c r="O13" s="305">
        <f>M13</f>
        <v>404.7</v>
      </c>
      <c r="P13" s="296" t="s">
        <v>484</v>
      </c>
      <c r="Q13" s="296"/>
      <c r="R13" s="300">
        <v>94</v>
      </c>
      <c r="S13" s="300"/>
      <c r="T13" s="312"/>
    </row>
    <row r="14" spans="1:20" s="313" customFormat="1" ht="31.5" customHeight="1">
      <c r="A14" s="300">
        <v>7</v>
      </c>
      <c r="B14" s="301"/>
      <c r="C14" s="125" t="s">
        <v>493</v>
      </c>
      <c r="D14" s="302" t="s">
        <v>492</v>
      </c>
      <c r="E14" s="311">
        <v>0.9458000000000001</v>
      </c>
      <c r="F14" s="124">
        <v>400</v>
      </c>
      <c r="G14" s="124">
        <f>E14*F14</f>
        <v>378.32000000000005</v>
      </c>
      <c r="H14" s="304">
        <f>F14/4</f>
        <v>100</v>
      </c>
      <c r="I14" s="304">
        <f>G14/4</f>
        <v>94.58000000000001</v>
      </c>
      <c r="J14" s="304">
        <f>H14</f>
        <v>100</v>
      </c>
      <c r="K14" s="305">
        <f>I14</f>
        <v>94.58000000000001</v>
      </c>
      <c r="L14" s="304">
        <f>J14</f>
        <v>100</v>
      </c>
      <c r="M14" s="305">
        <f>K14</f>
        <v>94.58000000000001</v>
      </c>
      <c r="N14" s="304">
        <f>L14</f>
        <v>100</v>
      </c>
      <c r="O14" s="305">
        <f>M14</f>
        <v>94.58000000000001</v>
      </c>
      <c r="P14" s="296" t="s">
        <v>484</v>
      </c>
      <c r="Q14" s="296"/>
      <c r="R14" s="300">
        <v>94</v>
      </c>
      <c r="S14" s="300"/>
      <c r="T14" s="312"/>
    </row>
    <row r="15" spans="1:20" s="313" customFormat="1" ht="15.75" customHeight="1">
      <c r="A15" s="300">
        <v>8</v>
      </c>
      <c r="B15" s="301" t="s">
        <v>494</v>
      </c>
      <c r="C15" s="120" t="s">
        <v>495</v>
      </c>
      <c r="D15" s="302" t="s">
        <v>492</v>
      </c>
      <c r="E15" s="121">
        <v>250</v>
      </c>
      <c r="F15" s="122">
        <v>6</v>
      </c>
      <c r="G15" s="122">
        <f>E15*F15</f>
        <v>1500</v>
      </c>
      <c r="H15" s="314"/>
      <c r="I15" s="314"/>
      <c r="J15" s="314">
        <v>3</v>
      </c>
      <c r="K15" s="314">
        <f>G15/2</f>
        <v>750</v>
      </c>
      <c r="L15" s="314">
        <v>3</v>
      </c>
      <c r="M15" s="314">
        <f>G15/2</f>
        <v>750</v>
      </c>
      <c r="N15" s="314"/>
      <c r="O15" s="314"/>
      <c r="P15" s="296" t="s">
        <v>484</v>
      </c>
      <c r="Q15" s="296"/>
      <c r="R15" s="300">
        <v>95</v>
      </c>
      <c r="S15" s="300"/>
      <c r="T15" s="306"/>
    </row>
    <row r="16" spans="1:20" s="313" customFormat="1" ht="15.75" customHeight="1">
      <c r="A16" s="300">
        <v>9</v>
      </c>
      <c r="B16" s="301" t="s">
        <v>496</v>
      </c>
      <c r="C16" s="120" t="s">
        <v>497</v>
      </c>
      <c r="D16" s="302" t="s">
        <v>498</v>
      </c>
      <c r="E16" s="121">
        <v>2000</v>
      </c>
      <c r="F16" s="122">
        <v>1</v>
      </c>
      <c r="G16" s="122">
        <v>2000</v>
      </c>
      <c r="H16" s="314">
        <v>1</v>
      </c>
      <c r="I16" s="314">
        <v>2000</v>
      </c>
      <c r="J16" s="314"/>
      <c r="K16" s="314"/>
      <c r="L16" s="314"/>
      <c r="M16" s="314"/>
      <c r="N16" s="314"/>
      <c r="O16" s="314"/>
      <c r="P16" s="296" t="s">
        <v>484</v>
      </c>
      <c r="Q16" s="296"/>
      <c r="R16" s="300">
        <v>96</v>
      </c>
      <c r="S16" s="300"/>
      <c r="T16" s="306"/>
    </row>
    <row r="17" spans="1:20" s="308" customFormat="1" ht="27" customHeight="1">
      <c r="A17" s="300">
        <v>10</v>
      </c>
      <c r="B17" s="301"/>
      <c r="C17" s="120" t="s">
        <v>499</v>
      </c>
      <c r="D17" s="302" t="s">
        <v>492</v>
      </c>
      <c r="E17" s="121">
        <v>67.7</v>
      </c>
      <c r="F17" s="122">
        <v>50</v>
      </c>
      <c r="G17" s="122">
        <f>E17*F17</f>
        <v>3385</v>
      </c>
      <c r="H17" s="304">
        <v>10</v>
      </c>
      <c r="I17" s="304">
        <f>H17*E17</f>
        <v>677</v>
      </c>
      <c r="J17" s="304">
        <v>20</v>
      </c>
      <c r="K17" s="305">
        <f>J17*E17</f>
        <v>1354</v>
      </c>
      <c r="L17" s="304">
        <v>20</v>
      </c>
      <c r="M17" s="305">
        <f>L17*E17</f>
        <v>1354</v>
      </c>
      <c r="N17" s="314"/>
      <c r="O17" s="314"/>
      <c r="P17" s="315" t="s">
        <v>500</v>
      </c>
      <c r="Q17" s="296"/>
      <c r="R17" s="300">
        <v>97</v>
      </c>
      <c r="S17" s="300"/>
      <c r="T17" s="306"/>
    </row>
    <row r="18" spans="1:20" s="308" customFormat="1" ht="15.75" customHeight="1">
      <c r="A18" s="300">
        <v>11</v>
      </c>
      <c r="B18" s="301" t="s">
        <v>501</v>
      </c>
      <c r="C18" s="120" t="s">
        <v>502</v>
      </c>
      <c r="D18" s="302" t="s">
        <v>492</v>
      </c>
      <c r="E18" s="121">
        <v>180</v>
      </c>
      <c r="F18" s="122">
        <v>1</v>
      </c>
      <c r="G18" s="122">
        <f>F18*E18</f>
        <v>180</v>
      </c>
      <c r="H18" s="314">
        <v>1</v>
      </c>
      <c r="I18" s="314">
        <v>180</v>
      </c>
      <c r="J18" s="314"/>
      <c r="K18" s="314"/>
      <c r="L18" s="314"/>
      <c r="M18" s="314"/>
      <c r="N18" s="314"/>
      <c r="O18" s="314"/>
      <c r="P18" s="296" t="s">
        <v>503</v>
      </c>
      <c r="Q18" s="296"/>
      <c r="R18" s="300">
        <v>98</v>
      </c>
      <c r="S18" s="300"/>
      <c r="T18" s="306"/>
    </row>
    <row r="19" spans="1:20" s="308" customFormat="1" ht="15.75" customHeight="1">
      <c r="A19" s="300">
        <v>12</v>
      </c>
      <c r="B19" s="301"/>
      <c r="C19" s="120" t="s">
        <v>504</v>
      </c>
      <c r="D19" s="302" t="s">
        <v>492</v>
      </c>
      <c r="E19" s="121">
        <v>180</v>
      </c>
      <c r="F19" s="122">
        <v>1</v>
      </c>
      <c r="G19" s="122">
        <f>F19*E19</f>
        <v>180</v>
      </c>
      <c r="H19" s="314">
        <v>1</v>
      </c>
      <c r="I19" s="121">
        <v>180</v>
      </c>
      <c r="J19" s="314"/>
      <c r="K19" s="314"/>
      <c r="L19" s="314"/>
      <c r="M19" s="314"/>
      <c r="N19" s="314"/>
      <c r="O19" s="121"/>
      <c r="P19" s="296" t="s">
        <v>503</v>
      </c>
      <c r="Q19" s="296"/>
      <c r="R19" s="300">
        <v>105</v>
      </c>
      <c r="S19" s="300"/>
      <c r="T19" s="306"/>
    </row>
    <row r="20" spans="1:20" s="308" customFormat="1" ht="15.75" customHeight="1">
      <c r="A20" s="300">
        <v>13</v>
      </c>
      <c r="B20" s="301"/>
      <c r="C20" s="120" t="s">
        <v>207</v>
      </c>
      <c r="D20" s="302" t="s">
        <v>492</v>
      </c>
      <c r="E20" s="121">
        <v>81.01</v>
      </c>
      <c r="F20" s="122">
        <v>2</v>
      </c>
      <c r="G20" s="122">
        <f>F20*E20</f>
        <v>162.02</v>
      </c>
      <c r="H20" s="314">
        <v>2</v>
      </c>
      <c r="I20" s="314">
        <v>162.02</v>
      </c>
      <c r="J20" s="314"/>
      <c r="K20" s="314"/>
      <c r="L20" s="316"/>
      <c r="M20" s="316"/>
      <c r="N20" s="316"/>
      <c r="O20" s="316"/>
      <c r="P20" s="296" t="s">
        <v>503</v>
      </c>
      <c r="Q20" s="296"/>
      <c r="R20" s="300">
        <v>105</v>
      </c>
      <c r="S20" s="300"/>
      <c r="T20" s="306"/>
    </row>
    <row r="21" spans="1:20" s="308" customFormat="1" ht="31.5" customHeight="1">
      <c r="A21" s="300">
        <v>14</v>
      </c>
      <c r="B21" s="301"/>
      <c r="C21" s="120" t="s">
        <v>208</v>
      </c>
      <c r="D21" s="302" t="s">
        <v>492</v>
      </c>
      <c r="E21" s="121">
        <v>9.9</v>
      </c>
      <c r="F21" s="122">
        <v>7</v>
      </c>
      <c r="G21" s="122">
        <f>F21*E21</f>
        <v>69.3</v>
      </c>
      <c r="H21" s="314"/>
      <c r="I21" s="122"/>
      <c r="J21" s="314"/>
      <c r="K21" s="314"/>
      <c r="L21" s="314"/>
      <c r="M21" s="314"/>
      <c r="N21" s="314">
        <v>7</v>
      </c>
      <c r="O21" s="314">
        <v>69.3</v>
      </c>
      <c r="P21" s="296" t="s">
        <v>503</v>
      </c>
      <c r="Q21" s="296"/>
      <c r="R21" s="300">
        <v>105</v>
      </c>
      <c r="S21" s="300"/>
      <c r="T21" s="306"/>
    </row>
    <row r="22" spans="1:20" s="308" customFormat="1" ht="17.25" customHeight="1">
      <c r="A22" s="300">
        <v>15</v>
      </c>
      <c r="B22" s="301"/>
      <c r="C22" s="120" t="s">
        <v>209</v>
      </c>
      <c r="D22" s="302" t="s">
        <v>498</v>
      </c>
      <c r="E22" s="121">
        <v>888.8</v>
      </c>
      <c r="F22" s="122">
        <v>1</v>
      </c>
      <c r="G22" s="122">
        <f>F22*E22</f>
        <v>888.8</v>
      </c>
      <c r="H22" s="314"/>
      <c r="I22" s="122"/>
      <c r="J22" s="314"/>
      <c r="K22" s="314"/>
      <c r="L22" s="314">
        <v>1</v>
      </c>
      <c r="M22" s="314">
        <v>888.8</v>
      </c>
      <c r="N22" s="314"/>
      <c r="O22" s="314"/>
      <c r="P22" s="296" t="s">
        <v>503</v>
      </c>
      <c r="Q22" s="296"/>
      <c r="R22" s="300">
        <v>106</v>
      </c>
      <c r="S22" s="300"/>
      <c r="T22" s="306"/>
    </row>
    <row r="23" spans="1:20" s="308" customFormat="1" ht="17.25" customHeight="1">
      <c r="A23" s="300">
        <v>16</v>
      </c>
      <c r="B23" s="301"/>
      <c r="C23" s="120" t="s">
        <v>210</v>
      </c>
      <c r="D23" s="302" t="s">
        <v>498</v>
      </c>
      <c r="E23" s="121">
        <v>555.5</v>
      </c>
      <c r="F23" s="122">
        <v>1</v>
      </c>
      <c r="G23" s="122">
        <f>F23*E23</f>
        <v>555.5</v>
      </c>
      <c r="H23" s="314">
        <v>1</v>
      </c>
      <c r="I23" s="122">
        <v>555.5</v>
      </c>
      <c r="J23" s="314"/>
      <c r="K23" s="314"/>
      <c r="L23" s="314"/>
      <c r="M23" s="314"/>
      <c r="N23" s="314"/>
      <c r="O23" s="314"/>
      <c r="P23" s="296" t="s">
        <v>503</v>
      </c>
      <c r="Q23" s="296"/>
      <c r="R23" s="300">
        <v>109</v>
      </c>
      <c r="S23" s="300"/>
      <c r="T23" s="306"/>
    </row>
    <row r="24" spans="1:20" s="308" customFormat="1" ht="31.5" customHeight="1">
      <c r="A24" s="300">
        <v>17</v>
      </c>
      <c r="B24" s="301"/>
      <c r="C24" s="120" t="s">
        <v>211</v>
      </c>
      <c r="D24" s="302" t="s">
        <v>492</v>
      </c>
      <c r="E24" s="121">
        <v>60</v>
      </c>
      <c r="F24" s="122">
        <v>2</v>
      </c>
      <c r="G24" s="122">
        <f>E24*F24</f>
        <v>120</v>
      </c>
      <c r="H24" s="314"/>
      <c r="I24" s="122"/>
      <c r="J24" s="314"/>
      <c r="K24" s="314"/>
      <c r="L24" s="314"/>
      <c r="M24" s="314"/>
      <c r="N24" s="314">
        <v>2</v>
      </c>
      <c r="O24" s="314">
        <v>120</v>
      </c>
      <c r="P24" s="296" t="s">
        <v>503</v>
      </c>
      <c r="Q24" s="296"/>
      <c r="R24" s="300">
        <v>109</v>
      </c>
      <c r="S24" s="300"/>
      <c r="T24" s="306"/>
    </row>
    <row r="25" spans="1:20" s="308" customFormat="1" ht="31.5" customHeight="1">
      <c r="A25" s="300">
        <v>18</v>
      </c>
      <c r="B25" s="301"/>
      <c r="C25" s="120" t="s">
        <v>212</v>
      </c>
      <c r="D25" s="302" t="s">
        <v>492</v>
      </c>
      <c r="E25" s="121">
        <v>30</v>
      </c>
      <c r="F25" s="122">
        <v>8</v>
      </c>
      <c r="G25" s="122">
        <f>E25*F25</f>
        <v>240</v>
      </c>
      <c r="H25" s="314"/>
      <c r="I25" s="122"/>
      <c r="J25" s="314"/>
      <c r="K25" s="314"/>
      <c r="L25" s="314"/>
      <c r="M25" s="314"/>
      <c r="N25" s="314">
        <v>8</v>
      </c>
      <c r="O25" s="314">
        <v>240</v>
      </c>
      <c r="P25" s="296" t="s">
        <v>503</v>
      </c>
      <c r="Q25" s="296"/>
      <c r="R25" s="300">
        <v>107</v>
      </c>
      <c r="S25" s="300"/>
      <c r="T25" s="306"/>
    </row>
    <row r="26" spans="1:20" s="313" customFormat="1" ht="15.75" customHeight="1">
      <c r="A26" s="300">
        <v>19</v>
      </c>
      <c r="B26" s="301"/>
      <c r="C26" s="120" t="s">
        <v>213</v>
      </c>
      <c r="D26" s="302" t="s">
        <v>498</v>
      </c>
      <c r="E26" s="122">
        <v>17000</v>
      </c>
      <c r="F26" s="122">
        <v>1</v>
      </c>
      <c r="G26" s="122">
        <v>17000</v>
      </c>
      <c r="H26" s="314"/>
      <c r="I26" s="122"/>
      <c r="J26" s="314"/>
      <c r="K26" s="314">
        <f>G26/2</f>
        <v>8500</v>
      </c>
      <c r="L26" s="314"/>
      <c r="M26" s="314"/>
      <c r="N26" s="122">
        <v>1</v>
      </c>
      <c r="O26" s="122">
        <f>K26</f>
        <v>8500</v>
      </c>
      <c r="P26" s="296" t="s">
        <v>503</v>
      </c>
      <c r="Q26" s="296"/>
      <c r="R26" s="300">
        <v>108</v>
      </c>
      <c r="S26" s="300"/>
      <c r="T26" s="296"/>
    </row>
    <row r="27" spans="1:20" s="313" customFormat="1" ht="30.75" customHeight="1">
      <c r="A27" s="300">
        <v>20</v>
      </c>
      <c r="B27" s="301"/>
      <c r="C27" s="120" t="s">
        <v>214</v>
      </c>
      <c r="D27" s="302" t="s">
        <v>498</v>
      </c>
      <c r="E27" s="121">
        <v>333.3</v>
      </c>
      <c r="F27" s="122">
        <v>1</v>
      </c>
      <c r="G27" s="121">
        <v>333.3</v>
      </c>
      <c r="H27" s="314">
        <v>1</v>
      </c>
      <c r="I27" s="122">
        <v>333.3</v>
      </c>
      <c r="J27" s="314"/>
      <c r="K27" s="314"/>
      <c r="L27" s="314"/>
      <c r="M27" s="122"/>
      <c r="N27" s="314"/>
      <c r="O27" s="314"/>
      <c r="P27" s="296" t="s">
        <v>503</v>
      </c>
      <c r="Q27" s="296"/>
      <c r="R27" s="300">
        <v>110</v>
      </c>
      <c r="S27" s="300"/>
      <c r="T27" s="296"/>
    </row>
    <row r="28" spans="1:20" s="62" customFormat="1" ht="14.25" customHeight="1">
      <c r="A28" s="300">
        <v>21</v>
      </c>
      <c r="B28" s="301"/>
      <c r="C28" s="120" t="s">
        <v>505</v>
      </c>
      <c r="D28" s="302" t="s">
        <v>498</v>
      </c>
      <c r="E28" s="122">
        <v>1128.33</v>
      </c>
      <c r="F28" s="303">
        <v>1</v>
      </c>
      <c r="G28" s="122">
        <v>1128.33</v>
      </c>
      <c r="H28" s="304"/>
      <c r="I28" s="304"/>
      <c r="J28" s="304"/>
      <c r="K28" s="305">
        <f>G28/2</f>
        <v>564.165</v>
      </c>
      <c r="L28" s="304">
        <v>1</v>
      </c>
      <c r="M28" s="305">
        <f>K28</f>
        <v>564.165</v>
      </c>
      <c r="N28" s="304"/>
      <c r="O28" s="305"/>
      <c r="P28" s="296" t="s">
        <v>484</v>
      </c>
      <c r="Q28" s="296"/>
      <c r="R28" s="300">
        <v>111</v>
      </c>
      <c r="S28" s="300"/>
      <c r="T28" s="306"/>
    </row>
    <row r="29" spans="1:20" s="313" customFormat="1" ht="30.75" customHeight="1">
      <c r="A29" s="300">
        <v>22</v>
      </c>
      <c r="B29" s="301"/>
      <c r="C29" s="120" t="s">
        <v>216</v>
      </c>
      <c r="D29" s="302" t="s">
        <v>498</v>
      </c>
      <c r="E29" s="123">
        <v>280</v>
      </c>
      <c r="F29" s="124">
        <v>1</v>
      </c>
      <c r="G29" s="121">
        <v>280</v>
      </c>
      <c r="H29" s="314">
        <v>1</v>
      </c>
      <c r="I29" s="122">
        <v>280</v>
      </c>
      <c r="J29" s="314"/>
      <c r="K29" s="314"/>
      <c r="L29" s="314"/>
      <c r="M29" s="122"/>
      <c r="N29" s="314"/>
      <c r="O29" s="314"/>
      <c r="P29" s="296" t="s">
        <v>503</v>
      </c>
      <c r="Q29" s="296"/>
      <c r="R29" s="300">
        <v>112</v>
      </c>
      <c r="S29" s="300"/>
      <c r="T29" s="296"/>
    </row>
    <row r="30" spans="1:20" s="313" customFormat="1" ht="17.25" customHeight="1">
      <c r="A30" s="300">
        <v>23</v>
      </c>
      <c r="B30" s="301"/>
      <c r="C30" s="120" t="s">
        <v>217</v>
      </c>
      <c r="D30" s="302" t="s">
        <v>498</v>
      </c>
      <c r="E30" s="121">
        <v>333.3</v>
      </c>
      <c r="F30" s="122">
        <v>1</v>
      </c>
      <c r="G30" s="121">
        <v>333.3</v>
      </c>
      <c r="H30" s="314"/>
      <c r="I30" s="122"/>
      <c r="J30" s="314"/>
      <c r="K30" s="122"/>
      <c r="L30" s="314">
        <v>1</v>
      </c>
      <c r="M30" s="314">
        <v>333.3</v>
      </c>
      <c r="N30" s="314"/>
      <c r="O30" s="314"/>
      <c r="P30" s="296" t="s">
        <v>503</v>
      </c>
      <c r="Q30" s="296"/>
      <c r="R30" s="300">
        <v>112</v>
      </c>
      <c r="S30" s="300"/>
      <c r="T30" s="296"/>
    </row>
    <row r="31" spans="1:20" s="313" customFormat="1" ht="17.25" customHeight="1">
      <c r="A31" s="300">
        <v>24</v>
      </c>
      <c r="B31" s="301"/>
      <c r="C31" s="120" t="s">
        <v>218</v>
      </c>
      <c r="D31" s="302" t="s">
        <v>498</v>
      </c>
      <c r="E31" s="121">
        <v>200</v>
      </c>
      <c r="F31" s="122">
        <v>1</v>
      </c>
      <c r="G31" s="121">
        <v>200</v>
      </c>
      <c r="H31" s="314"/>
      <c r="I31" s="122"/>
      <c r="J31" s="314"/>
      <c r="K31" s="122"/>
      <c r="L31" s="314">
        <v>1</v>
      </c>
      <c r="M31" s="122">
        <v>200</v>
      </c>
      <c r="N31" s="314"/>
      <c r="O31" s="314"/>
      <c r="P31" s="296" t="s">
        <v>503</v>
      </c>
      <c r="Q31" s="296"/>
      <c r="R31" s="300">
        <v>113</v>
      </c>
      <c r="S31" s="300"/>
      <c r="T31" s="296"/>
    </row>
    <row r="32" spans="1:20" s="308" customFormat="1" ht="30.75" customHeight="1">
      <c r="A32" s="300">
        <v>25</v>
      </c>
      <c r="B32" s="301" t="s">
        <v>25</v>
      </c>
      <c r="C32" s="125" t="s">
        <v>219</v>
      </c>
      <c r="D32" s="317" t="s">
        <v>492</v>
      </c>
      <c r="E32" s="126">
        <v>178.168</v>
      </c>
      <c r="F32" s="126">
        <v>1</v>
      </c>
      <c r="G32" s="318">
        <f>F32*E32</f>
        <v>178.168</v>
      </c>
      <c r="H32" s="314"/>
      <c r="I32" s="122"/>
      <c r="J32" s="314"/>
      <c r="K32" s="122"/>
      <c r="L32" s="314">
        <v>1</v>
      </c>
      <c r="M32" s="122">
        <f>G32</f>
        <v>178.168</v>
      </c>
      <c r="N32" s="314"/>
      <c r="O32" s="314"/>
      <c r="P32" s="296" t="s">
        <v>503</v>
      </c>
      <c r="Q32" s="296"/>
      <c r="R32" s="300">
        <v>114</v>
      </c>
      <c r="S32" s="300"/>
      <c r="T32" s="306"/>
    </row>
    <row r="33" spans="1:20" s="308" customFormat="1" ht="15.75" customHeight="1">
      <c r="A33" s="300">
        <v>26</v>
      </c>
      <c r="B33" s="301"/>
      <c r="C33" s="125" t="s">
        <v>220</v>
      </c>
      <c r="D33" s="317" t="s">
        <v>492</v>
      </c>
      <c r="E33" s="126">
        <v>60.174</v>
      </c>
      <c r="F33" s="126">
        <v>1</v>
      </c>
      <c r="G33" s="318">
        <f>F33*E33</f>
        <v>60.174</v>
      </c>
      <c r="H33" s="314"/>
      <c r="I33" s="122"/>
      <c r="J33" s="314"/>
      <c r="K33" s="122"/>
      <c r="L33" s="314">
        <v>1</v>
      </c>
      <c r="M33" s="122">
        <f>G33</f>
        <v>60.174</v>
      </c>
      <c r="N33" s="314"/>
      <c r="O33" s="314"/>
      <c r="P33" s="296" t="s">
        <v>503</v>
      </c>
      <c r="Q33" s="296"/>
      <c r="R33" s="300">
        <v>115</v>
      </c>
      <c r="S33" s="300"/>
      <c r="T33" s="306"/>
    </row>
    <row r="34" spans="1:20" s="308" customFormat="1" ht="15.75" customHeight="1">
      <c r="A34" s="300">
        <v>27</v>
      </c>
      <c r="B34" s="301"/>
      <c r="C34" s="125" t="s">
        <v>221</v>
      </c>
      <c r="D34" s="317" t="s">
        <v>492</v>
      </c>
      <c r="E34" s="126">
        <v>201.415</v>
      </c>
      <c r="F34" s="126">
        <v>1</v>
      </c>
      <c r="G34" s="318">
        <f>F34*E34</f>
        <v>201.415</v>
      </c>
      <c r="H34" s="314"/>
      <c r="I34" s="122"/>
      <c r="J34" s="314"/>
      <c r="K34" s="122"/>
      <c r="L34" s="314">
        <v>1</v>
      </c>
      <c r="M34" s="122">
        <f>G34</f>
        <v>201.415</v>
      </c>
      <c r="N34" s="314"/>
      <c r="O34" s="314"/>
      <c r="P34" s="296" t="s">
        <v>503</v>
      </c>
      <c r="Q34" s="296"/>
      <c r="R34" s="300">
        <v>115</v>
      </c>
      <c r="S34" s="300"/>
      <c r="T34" s="306"/>
    </row>
    <row r="35" spans="1:20" s="308" customFormat="1" ht="15.75" customHeight="1">
      <c r="A35" s="300">
        <v>28</v>
      </c>
      <c r="B35" s="301"/>
      <c r="C35" s="125" t="s">
        <v>222</v>
      </c>
      <c r="D35" s="317" t="s">
        <v>492</v>
      </c>
      <c r="E35" s="126">
        <v>276.622</v>
      </c>
      <c r="F35" s="126">
        <v>1</v>
      </c>
      <c r="G35" s="318">
        <f>F35*E35</f>
        <v>276.622</v>
      </c>
      <c r="H35" s="314"/>
      <c r="I35" s="122"/>
      <c r="J35" s="314"/>
      <c r="K35" s="122"/>
      <c r="L35" s="314">
        <v>1</v>
      </c>
      <c r="M35" s="122">
        <f>G35</f>
        <v>276.622</v>
      </c>
      <c r="N35" s="314"/>
      <c r="O35" s="314"/>
      <c r="P35" s="296" t="s">
        <v>503</v>
      </c>
      <c r="Q35" s="296"/>
      <c r="R35" s="300">
        <v>116</v>
      </c>
      <c r="S35" s="300"/>
      <c r="T35" s="306"/>
    </row>
    <row r="36" spans="1:20" s="308" customFormat="1" ht="31.5" customHeight="1">
      <c r="A36" s="300">
        <v>29</v>
      </c>
      <c r="B36" s="301"/>
      <c r="C36" s="125" t="s">
        <v>223</v>
      </c>
      <c r="D36" s="317" t="s">
        <v>492</v>
      </c>
      <c r="E36" s="126">
        <v>60.872</v>
      </c>
      <c r="F36" s="126">
        <v>1</v>
      </c>
      <c r="G36" s="318">
        <f>F36*E36</f>
        <v>60.872</v>
      </c>
      <c r="H36" s="314"/>
      <c r="I36" s="122"/>
      <c r="J36" s="314"/>
      <c r="K36" s="122"/>
      <c r="L36" s="314">
        <v>1</v>
      </c>
      <c r="M36" s="122">
        <f>G36</f>
        <v>60.872</v>
      </c>
      <c r="N36" s="314"/>
      <c r="O36" s="314"/>
      <c r="P36" s="296" t="s">
        <v>503</v>
      </c>
      <c r="Q36" s="296"/>
      <c r="R36" s="300">
        <v>116</v>
      </c>
      <c r="S36" s="300"/>
      <c r="T36" s="306"/>
    </row>
    <row r="37" spans="1:20" s="308" customFormat="1" ht="42" customHeight="1">
      <c r="A37" s="300">
        <v>30</v>
      </c>
      <c r="B37" s="301"/>
      <c r="C37" s="127" t="s">
        <v>224</v>
      </c>
      <c r="D37" s="317" t="s">
        <v>492</v>
      </c>
      <c r="E37" s="126">
        <v>41.832</v>
      </c>
      <c r="F37" s="126">
        <v>1</v>
      </c>
      <c r="G37" s="318">
        <f>F37*E37</f>
        <v>41.832</v>
      </c>
      <c r="H37" s="314"/>
      <c r="I37" s="122"/>
      <c r="J37" s="314"/>
      <c r="K37" s="122"/>
      <c r="L37" s="314">
        <v>1</v>
      </c>
      <c r="M37" s="122">
        <f>G37</f>
        <v>41.832</v>
      </c>
      <c r="N37" s="314"/>
      <c r="O37" s="314"/>
      <c r="P37" s="296" t="s">
        <v>503</v>
      </c>
      <c r="Q37" s="296"/>
      <c r="R37" s="300">
        <v>117</v>
      </c>
      <c r="S37" s="300"/>
      <c r="T37" s="306"/>
    </row>
    <row r="38" spans="1:20" s="308" customFormat="1" ht="15.75" customHeight="1">
      <c r="A38" s="300">
        <v>31</v>
      </c>
      <c r="B38" s="301"/>
      <c r="C38" s="125" t="s">
        <v>225</v>
      </c>
      <c r="D38" s="310" t="s">
        <v>498</v>
      </c>
      <c r="E38" s="122"/>
      <c r="F38" s="122"/>
      <c r="G38" s="319">
        <f>1400+172.41-291.844+55.6999</f>
        <v>1336.2659</v>
      </c>
      <c r="H38" s="314"/>
      <c r="I38" s="319">
        <v>1336.27</v>
      </c>
      <c r="J38" s="314"/>
      <c r="K38" s="319"/>
      <c r="L38" s="314"/>
      <c r="M38" s="314"/>
      <c r="N38" s="314"/>
      <c r="O38" s="314"/>
      <c r="P38" s="296" t="s">
        <v>503</v>
      </c>
      <c r="Q38" s="296"/>
      <c r="R38" s="300">
        <v>118</v>
      </c>
      <c r="S38" s="300"/>
      <c r="T38" s="306"/>
    </row>
    <row r="39" spans="1:20" ht="15.75" customHeight="1">
      <c r="A39" s="320" t="s">
        <v>506</v>
      </c>
      <c r="B39" s="320"/>
      <c r="C39" s="320"/>
      <c r="D39" s="320"/>
      <c r="E39" s="320"/>
      <c r="F39" s="320"/>
      <c r="G39" s="321">
        <f>SUM(G8:G38)</f>
        <v>76037.7941666667</v>
      </c>
      <c r="H39" s="321"/>
      <c r="I39" s="321">
        <f>SUM(I8:I38)</f>
        <v>17035.813816666676</v>
      </c>
      <c r="J39" s="321"/>
      <c r="K39" s="321">
        <f>SUM(K8:K38)</f>
        <v>22499.888816666677</v>
      </c>
      <c r="L39" s="321"/>
      <c r="M39" s="321">
        <f>SUM(M8:M38)</f>
        <v>16241.071816666674</v>
      </c>
      <c r="N39" s="321"/>
      <c r="O39" s="321">
        <f>SUM(O8:O38)</f>
        <v>20261.023816666675</v>
      </c>
      <c r="P39" s="322"/>
      <c r="Q39" s="322"/>
      <c r="R39" s="322"/>
      <c r="S39" s="322"/>
      <c r="T39" s="323">
        <f>G39/G91</f>
        <v>0.802238760172466</v>
      </c>
    </row>
    <row r="40" spans="1:20" ht="15.75" customHeight="1">
      <c r="A40" s="299" t="s">
        <v>507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</row>
    <row r="41" spans="1:20" s="308" customFormat="1" ht="27.75" customHeight="1">
      <c r="A41" s="300">
        <v>1</v>
      </c>
      <c r="B41" s="296" t="s">
        <v>508</v>
      </c>
      <c r="C41" s="324" t="s">
        <v>509</v>
      </c>
      <c r="D41" s="325" t="s">
        <v>492</v>
      </c>
      <c r="E41" s="326">
        <v>0.16</v>
      </c>
      <c r="F41" s="327">
        <v>16000</v>
      </c>
      <c r="G41" s="124">
        <f>E41*F41</f>
        <v>2560</v>
      </c>
      <c r="H41" s="328">
        <f>F41/4</f>
        <v>4000</v>
      </c>
      <c r="I41" s="304">
        <f>G41/4</f>
        <v>640</v>
      </c>
      <c r="J41" s="328">
        <f>H41</f>
        <v>4000</v>
      </c>
      <c r="K41" s="305">
        <f>I41</f>
        <v>640</v>
      </c>
      <c r="L41" s="328">
        <f>J41</f>
        <v>4000</v>
      </c>
      <c r="M41" s="305">
        <f>K41</f>
        <v>640</v>
      </c>
      <c r="N41" s="328">
        <f>L41</f>
        <v>4000</v>
      </c>
      <c r="O41" s="305">
        <f>M41</f>
        <v>640</v>
      </c>
      <c r="P41" s="296" t="s">
        <v>510</v>
      </c>
      <c r="Q41" s="312"/>
      <c r="R41" s="300">
        <v>120</v>
      </c>
      <c r="S41" s="329"/>
      <c r="T41" s="296"/>
    </row>
    <row r="42" spans="1:20" s="308" customFormat="1" ht="17.25" customHeight="1">
      <c r="A42" s="300">
        <v>2</v>
      </c>
      <c r="B42" s="296"/>
      <c r="C42" s="324" t="s">
        <v>511</v>
      </c>
      <c r="D42" s="325" t="s">
        <v>492</v>
      </c>
      <c r="E42" s="326">
        <v>0.5625</v>
      </c>
      <c r="F42" s="330">
        <v>1500</v>
      </c>
      <c r="G42" s="124">
        <f>E42*F42</f>
        <v>843.75</v>
      </c>
      <c r="H42" s="328">
        <f>F42/4</f>
        <v>375</v>
      </c>
      <c r="I42" s="304">
        <f>G42/4</f>
        <v>210.9375</v>
      </c>
      <c r="J42" s="328">
        <f>H42</f>
        <v>375</v>
      </c>
      <c r="K42" s="305">
        <f>I42</f>
        <v>210.9375</v>
      </c>
      <c r="L42" s="328">
        <f>J42</f>
        <v>375</v>
      </c>
      <c r="M42" s="305">
        <f>K42</f>
        <v>210.9375</v>
      </c>
      <c r="N42" s="328">
        <f>L42</f>
        <v>375</v>
      </c>
      <c r="O42" s="305">
        <f>M42</f>
        <v>210.9375</v>
      </c>
      <c r="P42" s="296" t="s">
        <v>510</v>
      </c>
      <c r="Q42" s="312"/>
      <c r="R42" s="300">
        <v>120</v>
      </c>
      <c r="S42" s="329"/>
      <c r="T42" s="296"/>
    </row>
    <row r="43" spans="1:20" s="308" customFormat="1" ht="15.75" customHeight="1">
      <c r="A43" s="300">
        <v>3</v>
      </c>
      <c r="B43" s="296" t="s">
        <v>512</v>
      </c>
      <c r="C43" s="324" t="s">
        <v>513</v>
      </c>
      <c r="D43" s="325" t="s">
        <v>492</v>
      </c>
      <c r="E43" s="326">
        <v>0.67</v>
      </c>
      <c r="F43" s="330">
        <v>2500</v>
      </c>
      <c r="G43" s="124">
        <f>E43*F43</f>
        <v>1675</v>
      </c>
      <c r="H43" s="328">
        <f>F43/4</f>
        <v>625</v>
      </c>
      <c r="I43" s="304">
        <f>G43/4</f>
        <v>418.75</v>
      </c>
      <c r="J43" s="328">
        <f>H43</f>
        <v>625</v>
      </c>
      <c r="K43" s="305">
        <f>I43</f>
        <v>418.75</v>
      </c>
      <c r="L43" s="328">
        <f>J43</f>
        <v>625</v>
      </c>
      <c r="M43" s="305">
        <f>K43</f>
        <v>418.75</v>
      </c>
      <c r="N43" s="328">
        <f>L43</f>
        <v>625</v>
      </c>
      <c r="O43" s="305">
        <f>M43</f>
        <v>418.75</v>
      </c>
      <c r="P43" s="296" t="s">
        <v>510</v>
      </c>
      <c r="Q43" s="312"/>
      <c r="R43" s="300">
        <v>121</v>
      </c>
      <c r="S43" s="329"/>
      <c r="T43" s="306"/>
    </row>
    <row r="44" spans="1:20" s="308" customFormat="1" ht="32.25" customHeight="1">
      <c r="A44" s="300">
        <v>4</v>
      </c>
      <c r="B44" s="296"/>
      <c r="C44" s="324" t="s">
        <v>514</v>
      </c>
      <c r="D44" s="325" t="s">
        <v>492</v>
      </c>
      <c r="E44" s="326">
        <v>1.2725</v>
      </c>
      <c r="F44" s="330">
        <v>50</v>
      </c>
      <c r="G44" s="124">
        <f>E44*F44</f>
        <v>63.625</v>
      </c>
      <c r="H44" s="328">
        <f>F44/4</f>
        <v>12.5</v>
      </c>
      <c r="I44" s="304">
        <f>G44/4</f>
        <v>15.90625</v>
      </c>
      <c r="J44" s="328">
        <f>H44</f>
        <v>12.5</v>
      </c>
      <c r="K44" s="305">
        <f>I44</f>
        <v>15.90625</v>
      </c>
      <c r="L44" s="328">
        <f>J44</f>
        <v>12.5</v>
      </c>
      <c r="M44" s="305">
        <f>K44</f>
        <v>15.90625</v>
      </c>
      <c r="N44" s="328">
        <f>L44</f>
        <v>12.5</v>
      </c>
      <c r="O44" s="305">
        <f>M44</f>
        <v>15.90625</v>
      </c>
      <c r="P44" s="296" t="s">
        <v>510</v>
      </c>
      <c r="Q44" s="312"/>
      <c r="R44" s="300">
        <v>121</v>
      </c>
      <c r="S44" s="329"/>
      <c r="T44" s="306"/>
    </row>
    <row r="45" spans="1:20" s="308" customFormat="1" ht="15.75" customHeight="1">
      <c r="A45" s="300">
        <v>5</v>
      </c>
      <c r="B45" s="296"/>
      <c r="C45" s="324" t="s">
        <v>515</v>
      </c>
      <c r="D45" s="325" t="s">
        <v>492</v>
      </c>
      <c r="E45" s="331">
        <v>1.875</v>
      </c>
      <c r="F45" s="330">
        <v>100</v>
      </c>
      <c r="G45" s="124">
        <f>E45*F45</f>
        <v>187.5</v>
      </c>
      <c r="H45" s="328">
        <f>F45/4</f>
        <v>25</v>
      </c>
      <c r="I45" s="304">
        <f>G45/4</f>
        <v>46.875</v>
      </c>
      <c r="J45" s="328">
        <f>H45</f>
        <v>25</v>
      </c>
      <c r="K45" s="305">
        <f>I45</f>
        <v>46.875</v>
      </c>
      <c r="L45" s="328">
        <f>J45</f>
        <v>25</v>
      </c>
      <c r="M45" s="305">
        <f>K45</f>
        <v>46.875</v>
      </c>
      <c r="N45" s="328">
        <f>L45</f>
        <v>25</v>
      </c>
      <c r="O45" s="305">
        <f>M45</f>
        <v>46.875</v>
      </c>
      <c r="P45" s="296" t="s">
        <v>510</v>
      </c>
      <c r="Q45" s="312"/>
      <c r="R45" s="300">
        <v>121</v>
      </c>
      <c r="S45" s="329"/>
      <c r="T45" s="306"/>
    </row>
    <row r="46" spans="1:20" s="308" customFormat="1" ht="15.75" customHeight="1">
      <c r="A46" s="300">
        <v>6</v>
      </c>
      <c r="B46" s="296"/>
      <c r="C46" s="324" t="s">
        <v>516</v>
      </c>
      <c r="D46" s="325" t="s">
        <v>492</v>
      </c>
      <c r="E46" s="331">
        <v>4.7545</v>
      </c>
      <c r="F46" s="330">
        <v>15</v>
      </c>
      <c r="G46" s="124">
        <f>E46*F46</f>
        <v>71.3175</v>
      </c>
      <c r="H46" s="305">
        <v>15</v>
      </c>
      <c r="I46" s="305">
        <v>71.32</v>
      </c>
      <c r="J46" s="304"/>
      <c r="K46" s="305"/>
      <c r="L46" s="305"/>
      <c r="M46" s="305"/>
      <c r="N46" s="305"/>
      <c r="O46" s="305"/>
      <c r="P46" s="296" t="s">
        <v>510</v>
      </c>
      <c r="Q46" s="312"/>
      <c r="R46" s="300">
        <v>121</v>
      </c>
      <c r="S46" s="329"/>
      <c r="T46" s="306"/>
    </row>
    <row r="47" spans="1:20" s="308" customFormat="1" ht="31.5" customHeight="1">
      <c r="A47" s="300">
        <v>7</v>
      </c>
      <c r="B47" s="296"/>
      <c r="C47" s="324" t="s">
        <v>517</v>
      </c>
      <c r="D47" s="325" t="s">
        <v>492</v>
      </c>
      <c r="E47" s="331">
        <v>0.62</v>
      </c>
      <c r="F47" s="330">
        <v>50</v>
      </c>
      <c r="G47" s="124">
        <f>E47*F47</f>
        <v>31</v>
      </c>
      <c r="H47" s="328">
        <f>F47/4</f>
        <v>12.5</v>
      </c>
      <c r="I47" s="304">
        <f>G47/4</f>
        <v>7.75</v>
      </c>
      <c r="J47" s="328">
        <f>H47</f>
        <v>12.5</v>
      </c>
      <c r="K47" s="305">
        <f>I47</f>
        <v>7.75</v>
      </c>
      <c r="L47" s="328">
        <f>J47</f>
        <v>12.5</v>
      </c>
      <c r="M47" s="305">
        <f>K47</f>
        <v>7.75</v>
      </c>
      <c r="N47" s="328">
        <f>L47</f>
        <v>12.5</v>
      </c>
      <c r="O47" s="305">
        <f>M47</f>
        <v>7.75</v>
      </c>
      <c r="P47" s="296" t="s">
        <v>510</v>
      </c>
      <c r="Q47" s="312"/>
      <c r="R47" s="300">
        <v>121</v>
      </c>
      <c r="S47" s="329"/>
      <c r="T47" s="306"/>
    </row>
    <row r="48" spans="1:20" s="308" customFormat="1" ht="32.25" customHeight="1">
      <c r="A48" s="300">
        <v>8</v>
      </c>
      <c r="B48" s="296"/>
      <c r="C48" s="324" t="s">
        <v>518</v>
      </c>
      <c r="D48" s="325" t="s">
        <v>492</v>
      </c>
      <c r="E48" s="331">
        <v>1.37</v>
      </c>
      <c r="F48" s="330">
        <v>200</v>
      </c>
      <c r="G48" s="124">
        <f>E48*F48</f>
        <v>274</v>
      </c>
      <c r="H48" s="328">
        <f>F48/4</f>
        <v>50</v>
      </c>
      <c r="I48" s="304">
        <f>G48/4</f>
        <v>68.5</v>
      </c>
      <c r="J48" s="328">
        <f>H48</f>
        <v>50</v>
      </c>
      <c r="K48" s="305">
        <f>I48</f>
        <v>68.5</v>
      </c>
      <c r="L48" s="328">
        <f>J48</f>
        <v>50</v>
      </c>
      <c r="M48" s="305">
        <f>K48</f>
        <v>68.5</v>
      </c>
      <c r="N48" s="328">
        <f>L48</f>
        <v>50</v>
      </c>
      <c r="O48" s="305">
        <f>M48</f>
        <v>68.5</v>
      </c>
      <c r="P48" s="296" t="s">
        <v>510</v>
      </c>
      <c r="Q48" s="312"/>
      <c r="R48" s="300">
        <v>121</v>
      </c>
      <c r="S48" s="329"/>
      <c r="T48" s="306"/>
    </row>
    <row r="49" spans="1:20" s="308" customFormat="1" ht="15.75" customHeight="1">
      <c r="A49" s="300">
        <v>9</v>
      </c>
      <c r="B49" s="296"/>
      <c r="C49" s="324" t="s">
        <v>519</v>
      </c>
      <c r="D49" s="325" t="s">
        <v>492</v>
      </c>
      <c r="E49" s="331">
        <v>0.5625</v>
      </c>
      <c r="F49" s="330">
        <v>200</v>
      </c>
      <c r="G49" s="124">
        <f>E49*F49</f>
        <v>112.5</v>
      </c>
      <c r="H49" s="328">
        <f>F49/4</f>
        <v>50</v>
      </c>
      <c r="I49" s="304">
        <f>G49/4</f>
        <v>28.125</v>
      </c>
      <c r="J49" s="328">
        <f>H49</f>
        <v>50</v>
      </c>
      <c r="K49" s="305">
        <f>I49</f>
        <v>28.125</v>
      </c>
      <c r="L49" s="328">
        <f>J49</f>
        <v>50</v>
      </c>
      <c r="M49" s="305">
        <f>K49</f>
        <v>28.125</v>
      </c>
      <c r="N49" s="328">
        <f>L49</f>
        <v>50</v>
      </c>
      <c r="O49" s="305">
        <f>M49</f>
        <v>28.125</v>
      </c>
      <c r="P49" s="296" t="s">
        <v>510</v>
      </c>
      <c r="Q49" s="312"/>
      <c r="R49" s="300">
        <v>121</v>
      </c>
      <c r="S49" s="329"/>
      <c r="T49" s="306"/>
    </row>
    <row r="50" spans="1:20" s="308" customFormat="1" ht="15.75" customHeight="1">
      <c r="A50" s="300">
        <v>10</v>
      </c>
      <c r="B50" s="296" t="s">
        <v>25</v>
      </c>
      <c r="C50" s="324" t="s">
        <v>520</v>
      </c>
      <c r="D50" s="325" t="s">
        <v>492</v>
      </c>
      <c r="E50" s="326">
        <v>0.0083</v>
      </c>
      <c r="F50" s="330">
        <v>10000</v>
      </c>
      <c r="G50" s="124">
        <f>E50*F50</f>
        <v>83</v>
      </c>
      <c r="H50" s="328">
        <f>F50/4</f>
        <v>2500</v>
      </c>
      <c r="I50" s="304">
        <f>G50/4</f>
        <v>20.75</v>
      </c>
      <c r="J50" s="328">
        <f>H50</f>
        <v>2500</v>
      </c>
      <c r="K50" s="305">
        <f>I50</f>
        <v>20.75</v>
      </c>
      <c r="L50" s="328">
        <f>J50</f>
        <v>2500</v>
      </c>
      <c r="M50" s="305">
        <f>K50</f>
        <v>20.75</v>
      </c>
      <c r="N50" s="328">
        <f>L50</f>
        <v>2500</v>
      </c>
      <c r="O50" s="305">
        <f>M50</f>
        <v>20.75</v>
      </c>
      <c r="P50" s="296" t="s">
        <v>510</v>
      </c>
      <c r="Q50" s="312"/>
      <c r="R50" s="300">
        <v>121</v>
      </c>
      <c r="S50" s="329"/>
      <c r="T50" s="306"/>
    </row>
    <row r="51" spans="1:20" ht="15.75" customHeight="1">
      <c r="A51" s="332" t="s">
        <v>521</v>
      </c>
      <c r="B51" s="332"/>
      <c r="C51" s="332"/>
      <c r="D51" s="332"/>
      <c r="E51" s="332"/>
      <c r="F51" s="332"/>
      <c r="G51" s="333">
        <f>SUM(G41:G50)</f>
        <v>5901.6925</v>
      </c>
      <c r="H51" s="321"/>
      <c r="I51" s="333">
        <f>SUM(I41:I50)</f>
        <v>1528.91375</v>
      </c>
      <c r="J51" s="321"/>
      <c r="K51" s="333">
        <f>SUM(K41:K50)</f>
        <v>1457.59375</v>
      </c>
      <c r="L51" s="321"/>
      <c r="M51" s="333">
        <f>SUM(M41:M50)</f>
        <v>1457.59375</v>
      </c>
      <c r="N51" s="321"/>
      <c r="O51" s="333">
        <f>SUM(O41:O50)</f>
        <v>1457.59375</v>
      </c>
      <c r="P51" s="322"/>
      <c r="Q51" s="322"/>
      <c r="R51" s="322"/>
      <c r="S51" s="322"/>
      <c r="T51" s="323">
        <f>G51/G91</f>
        <v>0.062265962946551005</v>
      </c>
    </row>
    <row r="52" spans="1:20" ht="15.75" customHeight="1">
      <c r="A52" s="299" t="s">
        <v>522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</row>
    <row r="53" spans="1:20" s="308" customFormat="1" ht="17.25" customHeight="1">
      <c r="A53" s="334">
        <v>1</v>
      </c>
      <c r="B53" s="301" t="s">
        <v>523</v>
      </c>
      <c r="C53" s="335" t="s">
        <v>524</v>
      </c>
      <c r="D53" s="336" t="s">
        <v>492</v>
      </c>
      <c r="E53" s="337">
        <f>778.809/1.2</f>
        <v>649.0075</v>
      </c>
      <c r="F53" s="258">
        <v>1</v>
      </c>
      <c r="G53" s="258">
        <f>E53</f>
        <v>649.0075</v>
      </c>
      <c r="H53" s="338"/>
      <c r="I53" s="338"/>
      <c r="J53" s="338"/>
      <c r="K53" s="338"/>
      <c r="L53" s="338">
        <v>1</v>
      </c>
      <c r="M53" s="338">
        <v>649.01</v>
      </c>
      <c r="N53" s="338"/>
      <c r="O53" s="338"/>
      <c r="P53" s="296" t="s">
        <v>510</v>
      </c>
      <c r="Q53" s="301"/>
      <c r="R53" s="301">
        <v>127</v>
      </c>
      <c r="S53" s="301"/>
      <c r="T53" s="301"/>
    </row>
    <row r="54" spans="1:20" s="308" customFormat="1" ht="17.25" customHeight="1">
      <c r="A54" s="334">
        <v>2</v>
      </c>
      <c r="B54" s="301"/>
      <c r="C54" s="339" t="s">
        <v>525</v>
      </c>
      <c r="D54" s="336" t="s">
        <v>492</v>
      </c>
      <c r="E54" s="337">
        <f>496.679/1.2</f>
        <v>413.89916666666664</v>
      </c>
      <c r="F54" s="258">
        <v>1</v>
      </c>
      <c r="G54" s="258">
        <f>E54</f>
        <v>413.89916666666664</v>
      </c>
      <c r="H54" s="338">
        <v>1</v>
      </c>
      <c r="I54" s="338">
        <v>413.9</v>
      </c>
      <c r="J54" s="338"/>
      <c r="K54" s="338"/>
      <c r="L54" s="338"/>
      <c r="M54" s="338"/>
      <c r="N54" s="338"/>
      <c r="O54" s="338"/>
      <c r="P54" s="296" t="s">
        <v>510</v>
      </c>
      <c r="Q54" s="301"/>
      <c r="R54" s="301">
        <v>127</v>
      </c>
      <c r="S54" s="301"/>
      <c r="T54" s="301"/>
    </row>
    <row r="55" spans="1:20" s="308" customFormat="1" ht="17.25" customHeight="1">
      <c r="A55" s="334">
        <v>3</v>
      </c>
      <c r="B55" s="301"/>
      <c r="C55" s="335" t="s">
        <v>526</v>
      </c>
      <c r="D55" s="336" t="s">
        <v>492</v>
      </c>
      <c r="E55" s="340">
        <f>49.862/1.2</f>
        <v>41.55166666666667</v>
      </c>
      <c r="F55" s="258">
        <v>1</v>
      </c>
      <c r="G55" s="258">
        <f>E55</f>
        <v>41.55166666666667</v>
      </c>
      <c r="H55" s="338"/>
      <c r="I55" s="338"/>
      <c r="J55" s="338"/>
      <c r="K55" s="338"/>
      <c r="L55" s="338">
        <v>1</v>
      </c>
      <c r="M55" s="338">
        <v>41.55</v>
      </c>
      <c r="N55" s="338"/>
      <c r="O55" s="338"/>
      <c r="P55" s="296" t="s">
        <v>510</v>
      </c>
      <c r="Q55" s="301"/>
      <c r="R55" s="301">
        <v>127</v>
      </c>
      <c r="S55" s="301"/>
      <c r="T55" s="301"/>
    </row>
    <row r="56" spans="1:20" s="308" customFormat="1" ht="17.25" customHeight="1">
      <c r="A56" s="334">
        <v>4</v>
      </c>
      <c r="B56" s="301"/>
      <c r="C56" s="335" t="s">
        <v>527</v>
      </c>
      <c r="D56" s="336" t="s">
        <v>492</v>
      </c>
      <c r="E56" s="340">
        <f>49.862/1.2</f>
        <v>41.55166666666667</v>
      </c>
      <c r="F56" s="258">
        <v>1</v>
      </c>
      <c r="G56" s="258">
        <f>E56</f>
        <v>41.55166666666667</v>
      </c>
      <c r="H56" s="338"/>
      <c r="I56" s="338"/>
      <c r="J56" s="338"/>
      <c r="K56" s="338"/>
      <c r="L56" s="338">
        <v>1</v>
      </c>
      <c r="M56" s="338">
        <v>41.55</v>
      </c>
      <c r="N56" s="338"/>
      <c r="O56" s="338"/>
      <c r="P56" s="296" t="s">
        <v>510</v>
      </c>
      <c r="Q56" s="301"/>
      <c r="R56" s="301">
        <v>127</v>
      </c>
      <c r="S56" s="301"/>
      <c r="T56" s="301"/>
    </row>
    <row r="57" spans="1:20" s="308" customFormat="1" ht="21.75" customHeight="1">
      <c r="A57" s="334">
        <v>5</v>
      </c>
      <c r="B57" s="334" t="s">
        <v>255</v>
      </c>
      <c r="C57" s="335" t="s">
        <v>528</v>
      </c>
      <c r="D57" s="336" t="s">
        <v>492</v>
      </c>
      <c r="E57" s="337">
        <f>14.5/1.2</f>
        <v>12.083333333333334</v>
      </c>
      <c r="F57" s="258">
        <v>2</v>
      </c>
      <c r="G57" s="124">
        <f>E57*F57</f>
        <v>24.166666666666668</v>
      </c>
      <c r="H57" s="338">
        <v>2</v>
      </c>
      <c r="I57" s="338">
        <v>24.17</v>
      </c>
      <c r="J57" s="338"/>
      <c r="K57" s="338"/>
      <c r="L57" s="338"/>
      <c r="M57" s="338"/>
      <c r="N57" s="338"/>
      <c r="O57" s="338"/>
      <c r="P57" s="296" t="s">
        <v>510</v>
      </c>
      <c r="Q57" s="301"/>
      <c r="R57" s="301">
        <v>129</v>
      </c>
      <c r="S57" s="301"/>
      <c r="T57" s="301"/>
    </row>
    <row r="58" spans="1:20" s="308" customFormat="1" ht="31.5" customHeight="1">
      <c r="A58" s="334">
        <v>6</v>
      </c>
      <c r="B58" s="334" t="s">
        <v>25</v>
      </c>
      <c r="C58" s="287" t="s">
        <v>529</v>
      </c>
      <c r="D58" s="336" t="s">
        <v>498</v>
      </c>
      <c r="E58" s="340">
        <f>372.709/1.2</f>
        <v>310.59083333333336</v>
      </c>
      <c r="F58" s="258">
        <v>1</v>
      </c>
      <c r="G58" s="258">
        <f>E58</f>
        <v>310.59083333333336</v>
      </c>
      <c r="H58" s="338"/>
      <c r="I58" s="338"/>
      <c r="J58" s="338"/>
      <c r="K58" s="338"/>
      <c r="L58" s="338">
        <v>1</v>
      </c>
      <c r="M58" s="338">
        <v>310.59</v>
      </c>
      <c r="N58" s="338"/>
      <c r="O58" s="338"/>
      <c r="P58" s="296" t="s">
        <v>510</v>
      </c>
      <c r="Q58" s="301"/>
      <c r="R58" s="301">
        <v>131</v>
      </c>
      <c r="S58" s="301"/>
      <c r="T58" s="301"/>
    </row>
    <row r="59" spans="1:20" ht="15.75" customHeight="1">
      <c r="A59" s="332" t="s">
        <v>530</v>
      </c>
      <c r="B59" s="332"/>
      <c r="C59" s="332"/>
      <c r="D59" s="332"/>
      <c r="E59" s="332"/>
      <c r="F59" s="332"/>
      <c r="G59" s="333">
        <f>SUM(G53:G58)</f>
        <v>1480.7675</v>
      </c>
      <c r="H59" s="321"/>
      <c r="I59" s="333">
        <f>SUM(I53:I58)</f>
        <v>438.07</v>
      </c>
      <c r="J59" s="321"/>
      <c r="K59" s="333">
        <f>SUM(K53:K58)</f>
        <v>0</v>
      </c>
      <c r="L59" s="321"/>
      <c r="M59" s="333">
        <f>SUM(M53:M58)</f>
        <v>1042.6999999999998</v>
      </c>
      <c r="N59" s="321"/>
      <c r="O59" s="333">
        <f>SUM(O53:O58)</f>
        <v>0</v>
      </c>
      <c r="P59" s="322"/>
      <c r="Q59" s="322"/>
      <c r="R59" s="322"/>
      <c r="S59" s="322"/>
      <c r="T59" s="323">
        <f>G59/G91</f>
        <v>0.01562287670654765</v>
      </c>
    </row>
    <row r="60" spans="1:20" ht="15.75" customHeight="1">
      <c r="A60" s="299" t="s">
        <v>531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</row>
    <row r="61" spans="1:20" s="346" customFormat="1" ht="32.25" customHeight="1">
      <c r="A61" s="341">
        <v>1</v>
      </c>
      <c r="B61" s="296" t="s">
        <v>532</v>
      </c>
      <c r="C61" s="335" t="s">
        <v>532</v>
      </c>
      <c r="D61" s="300" t="s">
        <v>492</v>
      </c>
      <c r="E61" s="342">
        <v>7.45</v>
      </c>
      <c r="F61" s="300">
        <v>89</v>
      </c>
      <c r="G61" s="342">
        <f>E61*F61</f>
        <v>663.0500000000001</v>
      </c>
      <c r="H61" s="300">
        <v>89</v>
      </c>
      <c r="I61" s="342">
        <v>663.05</v>
      </c>
      <c r="J61" s="300"/>
      <c r="K61" s="300"/>
      <c r="L61" s="300"/>
      <c r="M61" s="300"/>
      <c r="N61" s="343"/>
      <c r="O61" s="338"/>
      <c r="P61" s="296" t="s">
        <v>510</v>
      </c>
      <c r="Q61" s="344"/>
      <c r="R61" s="301">
        <v>136</v>
      </c>
      <c r="S61" s="329"/>
      <c r="T61" s="345"/>
    </row>
    <row r="62" spans="1:20" s="346" customFormat="1" ht="17.25" customHeight="1">
      <c r="A62" s="341">
        <v>2</v>
      </c>
      <c r="B62" s="296" t="s">
        <v>533</v>
      </c>
      <c r="C62" s="335" t="s">
        <v>534</v>
      </c>
      <c r="D62" s="300" t="s">
        <v>492</v>
      </c>
      <c r="E62" s="342">
        <v>14.13</v>
      </c>
      <c r="F62" s="300">
        <v>5</v>
      </c>
      <c r="G62" s="342">
        <f>E62*F62</f>
        <v>70.65</v>
      </c>
      <c r="H62" s="300">
        <v>5</v>
      </c>
      <c r="I62" s="300">
        <v>70.65</v>
      </c>
      <c r="J62" s="300"/>
      <c r="K62" s="300"/>
      <c r="L62" s="300"/>
      <c r="M62" s="300"/>
      <c r="N62" s="343"/>
      <c r="O62" s="338"/>
      <c r="P62" s="296" t="s">
        <v>510</v>
      </c>
      <c r="Q62" s="344"/>
      <c r="R62" s="301">
        <v>137</v>
      </c>
      <c r="S62" s="329"/>
      <c r="T62" s="345"/>
    </row>
    <row r="63" spans="1:20" s="346" customFormat="1" ht="15.75" customHeight="1">
      <c r="A63" s="341">
        <v>3</v>
      </c>
      <c r="B63" s="296"/>
      <c r="C63" s="335" t="s">
        <v>535</v>
      </c>
      <c r="D63" s="300" t="s">
        <v>492</v>
      </c>
      <c r="E63" s="342">
        <v>3.96</v>
      </c>
      <c r="F63" s="300">
        <v>21</v>
      </c>
      <c r="G63" s="342">
        <f>E63*F63</f>
        <v>83.16</v>
      </c>
      <c r="H63" s="300">
        <v>21</v>
      </c>
      <c r="I63" s="300">
        <v>83.16</v>
      </c>
      <c r="J63" s="300"/>
      <c r="K63" s="300"/>
      <c r="L63" s="300"/>
      <c r="M63" s="342"/>
      <c r="N63" s="343"/>
      <c r="O63" s="338"/>
      <c r="P63" s="296" t="s">
        <v>510</v>
      </c>
      <c r="Q63" s="344"/>
      <c r="R63" s="301">
        <v>137</v>
      </c>
      <c r="S63" s="329"/>
      <c r="T63" s="345"/>
    </row>
    <row r="64" spans="1:20" s="346" customFormat="1" ht="17.25" customHeight="1">
      <c r="A64" s="341">
        <v>4</v>
      </c>
      <c r="B64" s="296"/>
      <c r="C64" s="335" t="s">
        <v>536</v>
      </c>
      <c r="D64" s="300" t="s">
        <v>492</v>
      </c>
      <c r="E64" s="342">
        <v>18.98</v>
      </c>
      <c r="F64" s="300">
        <v>9</v>
      </c>
      <c r="G64" s="342">
        <f>E64*F64</f>
        <v>170.82</v>
      </c>
      <c r="H64" s="300">
        <v>9</v>
      </c>
      <c r="I64" s="300">
        <v>170.82</v>
      </c>
      <c r="J64" s="300"/>
      <c r="K64" s="300"/>
      <c r="L64" s="300"/>
      <c r="M64" s="342"/>
      <c r="N64" s="343"/>
      <c r="O64" s="338"/>
      <c r="P64" s="296" t="s">
        <v>510</v>
      </c>
      <c r="Q64" s="344"/>
      <c r="R64" s="301">
        <v>137</v>
      </c>
      <c r="S64" s="329"/>
      <c r="T64" s="345"/>
    </row>
    <row r="65" spans="1:20" s="346" customFormat="1" ht="17.25" customHeight="1">
      <c r="A65" s="341">
        <v>5</v>
      </c>
      <c r="B65" s="296" t="s">
        <v>537</v>
      </c>
      <c r="C65" s="335" t="s">
        <v>538</v>
      </c>
      <c r="D65" s="300" t="s">
        <v>492</v>
      </c>
      <c r="E65" s="342">
        <v>231.87</v>
      </c>
      <c r="F65" s="300">
        <v>1</v>
      </c>
      <c r="G65" s="342">
        <f>E65*F65</f>
        <v>231.87</v>
      </c>
      <c r="H65" s="300"/>
      <c r="I65" s="342"/>
      <c r="J65" s="300"/>
      <c r="K65" s="300"/>
      <c r="L65" s="300">
        <v>1</v>
      </c>
      <c r="M65" s="342">
        <v>231.87</v>
      </c>
      <c r="N65" s="343"/>
      <c r="O65" s="338"/>
      <c r="P65" s="296" t="s">
        <v>510</v>
      </c>
      <c r="Q65" s="344"/>
      <c r="R65" s="301">
        <v>140</v>
      </c>
      <c r="S65" s="329"/>
      <c r="T65" s="345"/>
    </row>
    <row r="66" spans="1:20" s="346" customFormat="1" ht="17.25" customHeight="1">
      <c r="A66" s="341">
        <v>6</v>
      </c>
      <c r="B66" s="296"/>
      <c r="C66" s="335" t="s">
        <v>539</v>
      </c>
      <c r="D66" s="300" t="s">
        <v>492</v>
      </c>
      <c r="E66" s="342">
        <v>32.52</v>
      </c>
      <c r="F66" s="300">
        <v>1</v>
      </c>
      <c r="G66" s="342">
        <f>E66*F66</f>
        <v>32.52</v>
      </c>
      <c r="H66" s="300">
        <v>1</v>
      </c>
      <c r="I66" s="342">
        <v>32.52</v>
      </c>
      <c r="J66" s="300"/>
      <c r="K66" s="300"/>
      <c r="L66" s="300"/>
      <c r="M66" s="342"/>
      <c r="N66" s="343"/>
      <c r="O66" s="338"/>
      <c r="P66" s="296" t="s">
        <v>510</v>
      </c>
      <c r="Q66" s="344"/>
      <c r="R66" s="301">
        <v>143</v>
      </c>
      <c r="S66" s="329"/>
      <c r="T66" s="345"/>
    </row>
    <row r="67" spans="1:20" s="346" customFormat="1" ht="31.5" customHeight="1">
      <c r="A67" s="341">
        <v>7</v>
      </c>
      <c r="B67" s="296"/>
      <c r="C67" s="335" t="s">
        <v>540</v>
      </c>
      <c r="D67" s="300" t="s">
        <v>492</v>
      </c>
      <c r="E67" s="342">
        <f>1230</f>
        <v>1230</v>
      </c>
      <c r="F67" s="300">
        <v>1</v>
      </c>
      <c r="G67" s="342">
        <f>E67*F67</f>
        <v>1230</v>
      </c>
      <c r="H67" s="300"/>
      <c r="I67" s="342">
        <f>307.5</f>
        <v>307.5</v>
      </c>
      <c r="J67" s="300"/>
      <c r="K67" s="300">
        <v>307.5</v>
      </c>
      <c r="L67" s="300"/>
      <c r="M67" s="300">
        <v>307.5</v>
      </c>
      <c r="N67" s="343"/>
      <c r="O67" s="300">
        <v>307.5</v>
      </c>
      <c r="P67" s="296" t="s">
        <v>510</v>
      </c>
      <c r="Q67" s="344"/>
      <c r="R67" s="301">
        <v>141</v>
      </c>
      <c r="S67" s="329"/>
      <c r="T67" s="345"/>
    </row>
    <row r="68" spans="1:20" s="346" customFormat="1" ht="17.25" customHeight="1">
      <c r="A68" s="341">
        <v>8</v>
      </c>
      <c r="B68" s="296"/>
      <c r="C68" s="335" t="s">
        <v>541</v>
      </c>
      <c r="D68" s="300" t="s">
        <v>492</v>
      </c>
      <c r="E68" s="342">
        <v>13.27</v>
      </c>
      <c r="F68" s="300">
        <v>15</v>
      </c>
      <c r="G68" s="342">
        <f>E68*F68</f>
        <v>199.04999999999998</v>
      </c>
      <c r="H68" s="300"/>
      <c r="I68" s="342"/>
      <c r="J68" s="300"/>
      <c r="K68" s="300"/>
      <c r="L68" s="300"/>
      <c r="M68" s="342"/>
      <c r="N68" s="343">
        <v>15</v>
      </c>
      <c r="O68" s="338">
        <v>199.05</v>
      </c>
      <c r="P68" s="296" t="s">
        <v>510</v>
      </c>
      <c r="Q68" s="344"/>
      <c r="R68" s="301">
        <v>141</v>
      </c>
      <c r="S68" s="329"/>
      <c r="T68" s="345"/>
    </row>
    <row r="69" spans="1:20" s="346" customFormat="1" ht="17.25" customHeight="1">
      <c r="A69" s="341">
        <v>9</v>
      </c>
      <c r="B69" s="296"/>
      <c r="C69" s="335" t="s">
        <v>542</v>
      </c>
      <c r="D69" s="300" t="s">
        <v>492</v>
      </c>
      <c r="E69" s="342">
        <v>5.2</v>
      </c>
      <c r="F69" s="300">
        <v>3</v>
      </c>
      <c r="G69" s="342">
        <f>E69*F69</f>
        <v>15.600000000000001</v>
      </c>
      <c r="H69" s="300"/>
      <c r="I69" s="342"/>
      <c r="J69" s="300"/>
      <c r="K69" s="300"/>
      <c r="L69" s="300"/>
      <c r="M69" s="342"/>
      <c r="N69" s="343">
        <v>3</v>
      </c>
      <c r="O69" s="338">
        <v>15.6</v>
      </c>
      <c r="P69" s="296" t="s">
        <v>510</v>
      </c>
      <c r="Q69" s="344"/>
      <c r="R69" s="301">
        <v>141</v>
      </c>
      <c r="S69" s="329"/>
      <c r="T69" s="345"/>
    </row>
    <row r="70" spans="1:20" s="346" customFormat="1" ht="17.25" customHeight="1">
      <c r="A70" s="341">
        <v>10</v>
      </c>
      <c r="B70" s="296" t="s">
        <v>25</v>
      </c>
      <c r="C70" s="335" t="s">
        <v>543</v>
      </c>
      <c r="D70" s="300" t="s">
        <v>492</v>
      </c>
      <c r="E70" s="342">
        <v>50</v>
      </c>
      <c r="F70" s="300">
        <v>3</v>
      </c>
      <c r="G70" s="342">
        <v>150</v>
      </c>
      <c r="H70" s="300">
        <v>3</v>
      </c>
      <c r="I70" s="342">
        <v>150</v>
      </c>
      <c r="J70" s="300"/>
      <c r="K70" s="300"/>
      <c r="L70" s="300"/>
      <c r="M70" s="342"/>
      <c r="N70" s="343"/>
      <c r="O70" s="338"/>
      <c r="P70" s="296" t="s">
        <v>510</v>
      </c>
      <c r="Q70" s="344"/>
      <c r="R70" s="301">
        <v>147</v>
      </c>
      <c r="S70" s="329"/>
      <c r="T70" s="345"/>
    </row>
    <row r="71" spans="1:20" s="346" customFormat="1" ht="32.25" customHeight="1">
      <c r="A71" s="341">
        <v>11</v>
      </c>
      <c r="B71" s="296"/>
      <c r="C71" s="335" t="s">
        <v>544</v>
      </c>
      <c r="D71" s="300" t="s">
        <v>492</v>
      </c>
      <c r="E71" s="342">
        <v>100.97</v>
      </c>
      <c r="F71" s="300">
        <v>2</v>
      </c>
      <c r="G71" s="342">
        <f>E71*F71</f>
        <v>201.94</v>
      </c>
      <c r="H71" s="300">
        <v>2</v>
      </c>
      <c r="I71" s="300">
        <f>G71</f>
        <v>201.94</v>
      </c>
      <c r="J71" s="300"/>
      <c r="K71" s="300"/>
      <c r="L71" s="300"/>
      <c r="M71" s="342"/>
      <c r="N71" s="343"/>
      <c r="O71" s="338"/>
      <c r="P71" s="296" t="s">
        <v>510</v>
      </c>
      <c r="Q71" s="344"/>
      <c r="R71" s="301">
        <v>148</v>
      </c>
      <c r="S71" s="329"/>
      <c r="T71" s="345"/>
    </row>
    <row r="72" spans="1:20" s="346" customFormat="1" ht="32.25" customHeight="1">
      <c r="A72" s="341">
        <v>12</v>
      </c>
      <c r="B72" s="296"/>
      <c r="C72" s="335" t="s">
        <v>545</v>
      </c>
      <c r="D72" s="300" t="s">
        <v>492</v>
      </c>
      <c r="E72" s="342">
        <v>151.54</v>
      </c>
      <c r="F72" s="300">
        <v>1</v>
      </c>
      <c r="G72" s="342">
        <f>E72*F72</f>
        <v>151.54</v>
      </c>
      <c r="H72" s="300"/>
      <c r="I72" s="342"/>
      <c r="J72" s="300"/>
      <c r="K72" s="300"/>
      <c r="L72" s="300">
        <v>1</v>
      </c>
      <c r="M72" s="342">
        <f>G72</f>
        <v>151.54</v>
      </c>
      <c r="N72" s="343"/>
      <c r="O72" s="338"/>
      <c r="P72" s="296" t="s">
        <v>510</v>
      </c>
      <c r="Q72" s="344"/>
      <c r="R72" s="301">
        <v>148</v>
      </c>
      <c r="S72" s="329"/>
      <c r="T72" s="345"/>
    </row>
    <row r="73" spans="1:20" ht="15.75" customHeight="1">
      <c r="A73" s="332" t="s">
        <v>546</v>
      </c>
      <c r="B73" s="332"/>
      <c r="C73" s="332"/>
      <c r="D73" s="332"/>
      <c r="E73" s="332"/>
      <c r="F73" s="332"/>
      <c r="G73" s="347">
        <f>SUM(G61:G72)</f>
        <v>3200.2000000000003</v>
      </c>
      <c r="H73" s="347"/>
      <c r="I73" s="347">
        <f>SUM(I61:I72)</f>
        <v>1679.6399999999999</v>
      </c>
      <c r="J73" s="347"/>
      <c r="K73" s="347">
        <f>SUM(K61:K72)</f>
        <v>307.5</v>
      </c>
      <c r="L73" s="347"/>
      <c r="M73" s="347">
        <f>SUM(M61:M72)</f>
        <v>690.91</v>
      </c>
      <c r="N73" s="333"/>
      <c r="O73" s="347">
        <f>SUM(O61:O72)</f>
        <v>522.15</v>
      </c>
      <c r="P73" s="322"/>
      <c r="Q73" s="322"/>
      <c r="R73" s="322"/>
      <c r="S73" s="322"/>
      <c r="T73" s="323">
        <f>G73/G91</f>
        <v>0.03376379481336118</v>
      </c>
    </row>
    <row r="74" spans="1:20" ht="15.75" customHeight="1">
      <c r="A74" s="348" t="s">
        <v>547</v>
      </c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</row>
    <row r="75" spans="1:20" s="308" customFormat="1" ht="15.75" customHeight="1">
      <c r="A75" s="334">
        <v>1</v>
      </c>
      <c r="B75" s="301" t="s">
        <v>548</v>
      </c>
      <c r="C75" s="287" t="s">
        <v>549</v>
      </c>
      <c r="D75" s="336" t="s">
        <v>492</v>
      </c>
      <c r="E75" s="340">
        <f>470.834/1.2</f>
        <v>392.3616666666667</v>
      </c>
      <c r="F75" s="258">
        <v>1</v>
      </c>
      <c r="G75" s="258">
        <f>E75*F75</f>
        <v>392.3616666666667</v>
      </c>
      <c r="H75" s="338"/>
      <c r="I75" s="338"/>
      <c r="J75" s="338"/>
      <c r="K75" s="338"/>
      <c r="L75" s="338">
        <v>1</v>
      </c>
      <c r="M75" s="338">
        <v>392.36</v>
      </c>
      <c r="N75" s="338"/>
      <c r="O75" s="338"/>
      <c r="P75" s="296" t="s">
        <v>510</v>
      </c>
      <c r="Q75" s="301"/>
      <c r="R75" s="301">
        <v>154</v>
      </c>
      <c r="S75" s="329"/>
      <c r="T75" s="345"/>
    </row>
    <row r="76" spans="1:20" s="308" customFormat="1" ht="15.75" customHeight="1">
      <c r="A76" s="334">
        <v>2</v>
      </c>
      <c r="B76" s="301"/>
      <c r="C76" s="287" t="s">
        <v>550</v>
      </c>
      <c r="D76" s="336" t="s">
        <v>492</v>
      </c>
      <c r="E76" s="340">
        <f>475.319/1.2</f>
        <v>396.0991666666667</v>
      </c>
      <c r="F76" s="258">
        <v>1</v>
      </c>
      <c r="G76" s="258">
        <f>E76*F76</f>
        <v>396.0991666666667</v>
      </c>
      <c r="H76" s="338"/>
      <c r="I76" s="338"/>
      <c r="J76" s="338"/>
      <c r="K76" s="338"/>
      <c r="L76" s="338">
        <v>1</v>
      </c>
      <c r="M76" s="338">
        <v>396.1</v>
      </c>
      <c r="N76" s="338"/>
      <c r="O76" s="338"/>
      <c r="P76" s="296" t="s">
        <v>510</v>
      </c>
      <c r="Q76" s="301"/>
      <c r="R76" s="301">
        <v>154</v>
      </c>
      <c r="S76" s="329"/>
      <c r="T76" s="345"/>
    </row>
    <row r="77" spans="1:20" s="308" customFormat="1" ht="30.75" customHeight="1">
      <c r="A77" s="334">
        <v>3</v>
      </c>
      <c r="B77" s="301"/>
      <c r="C77" s="287" t="s">
        <v>450</v>
      </c>
      <c r="D77" s="336" t="s">
        <v>498</v>
      </c>
      <c r="E77" s="340">
        <v>69.4</v>
      </c>
      <c r="F77" s="258">
        <v>1</v>
      </c>
      <c r="G77" s="258">
        <f>E77*F77</f>
        <v>69.4</v>
      </c>
      <c r="H77" s="338">
        <v>1</v>
      </c>
      <c r="I77" s="338">
        <v>69.4</v>
      </c>
      <c r="J77" s="338"/>
      <c r="K77" s="338"/>
      <c r="L77" s="338"/>
      <c r="M77" s="338"/>
      <c r="N77" s="338"/>
      <c r="O77" s="338"/>
      <c r="P77" s="296" t="s">
        <v>510</v>
      </c>
      <c r="Q77" s="301"/>
      <c r="R77" s="301">
        <v>155</v>
      </c>
      <c r="S77" s="329"/>
      <c r="T77" s="345"/>
    </row>
    <row r="78" spans="1:20" s="308" customFormat="1" ht="31.5" customHeight="1">
      <c r="A78" s="259">
        <v>4</v>
      </c>
      <c r="B78" s="334" t="s">
        <v>25</v>
      </c>
      <c r="C78" s="349" t="s">
        <v>451</v>
      </c>
      <c r="D78" s="336" t="s">
        <v>498</v>
      </c>
      <c r="E78" s="340">
        <f>309.738/1.2</f>
        <v>258.115</v>
      </c>
      <c r="F78" s="258">
        <v>1</v>
      </c>
      <c r="G78" s="258">
        <f>E78*F78</f>
        <v>258.115</v>
      </c>
      <c r="H78" s="350"/>
      <c r="I78" s="338"/>
      <c r="J78" s="338"/>
      <c r="K78" s="338"/>
      <c r="L78" s="338">
        <v>1</v>
      </c>
      <c r="M78" s="338">
        <v>258.12</v>
      </c>
      <c r="N78" s="338"/>
      <c r="O78" s="338"/>
      <c r="P78" s="296" t="s">
        <v>510</v>
      </c>
      <c r="Q78" s="301"/>
      <c r="R78" s="301">
        <v>159</v>
      </c>
      <c r="S78" s="329"/>
      <c r="T78" s="345"/>
    </row>
    <row r="79" spans="1:20" ht="15.75" customHeight="1">
      <c r="A79" s="320" t="s">
        <v>551</v>
      </c>
      <c r="B79" s="320"/>
      <c r="C79" s="320"/>
      <c r="D79" s="320"/>
      <c r="E79" s="320"/>
      <c r="F79" s="320"/>
      <c r="G79" s="351">
        <f>SUM(G75:G78)</f>
        <v>1115.9758333333334</v>
      </c>
      <c r="H79" s="347"/>
      <c r="I79" s="352">
        <f>SUM(I75:I78)</f>
        <v>69.4</v>
      </c>
      <c r="J79" s="333"/>
      <c r="K79" s="352">
        <f>SUM(K75:K78)</f>
        <v>0</v>
      </c>
      <c r="L79" s="333"/>
      <c r="M79" s="352">
        <f>SUM(M75:M78)</f>
        <v>1046.58</v>
      </c>
      <c r="N79" s="333"/>
      <c r="O79" s="352">
        <f>SUM(O75:O78)</f>
        <v>0</v>
      </c>
      <c r="P79" s="322"/>
      <c r="Q79" s="322"/>
      <c r="R79" s="322"/>
      <c r="S79" s="322"/>
      <c r="T79" s="323">
        <f>G79/G91</f>
        <v>0.011774132570881949</v>
      </c>
    </row>
    <row r="80" spans="1:20" ht="15.75" customHeight="1">
      <c r="A80" s="299" t="s">
        <v>552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</row>
    <row r="81" spans="1:20" s="313" customFormat="1" ht="15.75" customHeight="1">
      <c r="A81" s="334">
        <v>1</v>
      </c>
      <c r="B81" s="353" t="s">
        <v>553</v>
      </c>
      <c r="C81" s="255" t="s">
        <v>455</v>
      </c>
      <c r="D81" s="354" t="s">
        <v>492</v>
      </c>
      <c r="E81" s="355">
        <v>623.3</v>
      </c>
      <c r="F81" s="356">
        <v>1</v>
      </c>
      <c r="G81" s="357">
        <f>F81*E81</f>
        <v>623.3</v>
      </c>
      <c r="H81" s="338">
        <v>1</v>
      </c>
      <c r="I81" s="338">
        <v>623.3</v>
      </c>
      <c r="J81" s="338"/>
      <c r="K81" s="338"/>
      <c r="L81" s="338"/>
      <c r="M81" s="338"/>
      <c r="N81" s="338"/>
      <c r="O81" s="338"/>
      <c r="P81" s="296" t="s">
        <v>510</v>
      </c>
      <c r="Q81" s="259"/>
      <c r="R81" s="259">
        <v>163</v>
      </c>
      <c r="S81" s="329"/>
      <c r="T81" s="358"/>
    </row>
    <row r="82" spans="1:20" s="313" customFormat="1" ht="15.75" customHeight="1">
      <c r="A82" s="334">
        <v>2</v>
      </c>
      <c r="B82" s="353"/>
      <c r="C82" s="255" t="s">
        <v>456</v>
      </c>
      <c r="D82" s="354" t="s">
        <v>492</v>
      </c>
      <c r="E82" s="355">
        <v>850</v>
      </c>
      <c r="F82" s="356">
        <v>1</v>
      </c>
      <c r="G82" s="357">
        <f>F82*E82</f>
        <v>850</v>
      </c>
      <c r="H82" s="338"/>
      <c r="I82" s="338"/>
      <c r="J82" s="338">
        <v>1</v>
      </c>
      <c r="K82" s="338">
        <v>850</v>
      </c>
      <c r="L82" s="338"/>
      <c r="M82" s="338"/>
      <c r="N82" s="338"/>
      <c r="O82" s="338"/>
      <c r="P82" s="296" t="s">
        <v>510</v>
      </c>
      <c r="Q82" s="259"/>
      <c r="R82" s="259">
        <v>163</v>
      </c>
      <c r="S82" s="329"/>
      <c r="T82" s="358"/>
    </row>
    <row r="83" spans="1:20" s="313" customFormat="1" ht="24.75" customHeight="1">
      <c r="A83" s="334">
        <v>3</v>
      </c>
      <c r="B83" s="353"/>
      <c r="C83" s="255" t="s">
        <v>457</v>
      </c>
      <c r="D83" s="354" t="s">
        <v>492</v>
      </c>
      <c r="E83" s="355">
        <v>285.96</v>
      </c>
      <c r="F83" s="356">
        <v>13</v>
      </c>
      <c r="G83" s="357">
        <f>F83*E83</f>
        <v>3717.4799999999996</v>
      </c>
      <c r="H83" s="338"/>
      <c r="I83" s="338"/>
      <c r="J83" s="338"/>
      <c r="K83" s="338"/>
      <c r="L83" s="338">
        <f>F83</f>
        <v>13</v>
      </c>
      <c r="M83" s="338">
        <f>G83</f>
        <v>3717.4799999999996</v>
      </c>
      <c r="N83" s="338"/>
      <c r="O83" s="338"/>
      <c r="P83" s="315" t="s">
        <v>554</v>
      </c>
      <c r="Q83" s="259"/>
      <c r="R83" s="259">
        <v>163</v>
      </c>
      <c r="S83" s="329"/>
      <c r="T83" s="358"/>
    </row>
    <row r="84" spans="1:20" s="313" customFormat="1" ht="17.25" customHeight="1">
      <c r="A84" s="334">
        <v>4</v>
      </c>
      <c r="B84" s="353"/>
      <c r="C84" s="125" t="s">
        <v>458</v>
      </c>
      <c r="D84" s="354" t="s">
        <v>492</v>
      </c>
      <c r="E84" s="355">
        <v>595.8</v>
      </c>
      <c r="F84" s="356">
        <v>1</v>
      </c>
      <c r="G84" s="357">
        <f>F84*E84</f>
        <v>595.8</v>
      </c>
      <c r="H84" s="338"/>
      <c r="I84" s="338"/>
      <c r="J84" s="338"/>
      <c r="K84" s="338"/>
      <c r="L84" s="338"/>
      <c r="M84" s="338"/>
      <c r="N84" s="338">
        <v>1</v>
      </c>
      <c r="O84" s="338">
        <v>595.8</v>
      </c>
      <c r="P84" s="296" t="s">
        <v>510</v>
      </c>
      <c r="Q84" s="259"/>
      <c r="R84" s="259">
        <v>163</v>
      </c>
      <c r="S84" s="329"/>
      <c r="T84" s="358"/>
    </row>
    <row r="85" spans="1:20" ht="15.75" customHeight="1">
      <c r="A85" s="332" t="s">
        <v>555</v>
      </c>
      <c r="B85" s="332"/>
      <c r="C85" s="332"/>
      <c r="D85" s="332"/>
      <c r="E85" s="332"/>
      <c r="F85" s="332"/>
      <c r="G85" s="359">
        <f>SUM(G81:G84)</f>
        <v>5786.58</v>
      </c>
      <c r="H85" s="359"/>
      <c r="I85" s="359">
        <f>SUM(I81:I84)</f>
        <v>623.3</v>
      </c>
      <c r="J85" s="321"/>
      <c r="K85" s="359">
        <f>SUM(K81:K84)</f>
        <v>850</v>
      </c>
      <c r="L85" s="321"/>
      <c r="M85" s="359">
        <f>SUM(M81:M84)</f>
        <v>3717.4799999999996</v>
      </c>
      <c r="N85" s="321"/>
      <c r="O85" s="359">
        <f>SUM(O81:O84)</f>
        <v>595.8</v>
      </c>
      <c r="P85" s="322"/>
      <c r="Q85" s="322"/>
      <c r="R85" s="322"/>
      <c r="S85" s="322"/>
      <c r="T85" s="323">
        <f>G85/G91</f>
        <v>0.06105146546812683</v>
      </c>
    </row>
    <row r="86" spans="1:20" ht="15.75" customHeight="1">
      <c r="A86" s="299">
        <v>173</v>
      </c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</row>
    <row r="87" spans="1:20" s="308" customFormat="1" ht="17.25" customHeight="1">
      <c r="A87" s="259">
        <v>1</v>
      </c>
      <c r="B87" s="360" t="s">
        <v>25</v>
      </c>
      <c r="C87" s="280" t="s">
        <v>460</v>
      </c>
      <c r="D87" s="336" t="s">
        <v>492</v>
      </c>
      <c r="E87" s="340">
        <v>10.6</v>
      </c>
      <c r="F87" s="258">
        <v>1</v>
      </c>
      <c r="G87" s="258">
        <f>E87*F87</f>
        <v>10.6</v>
      </c>
      <c r="H87" s="338">
        <v>1</v>
      </c>
      <c r="I87" s="338">
        <v>10.6</v>
      </c>
      <c r="J87" s="338"/>
      <c r="K87" s="338"/>
      <c r="L87" s="338"/>
      <c r="M87" s="338"/>
      <c r="N87" s="338"/>
      <c r="O87" s="338"/>
      <c r="P87" s="296" t="s">
        <v>510</v>
      </c>
      <c r="Q87" s="301"/>
      <c r="R87" s="259">
        <v>165</v>
      </c>
      <c r="S87" s="329"/>
      <c r="T87" s="358"/>
    </row>
    <row r="88" spans="1:20" s="308" customFormat="1" ht="17.25" customHeight="1">
      <c r="A88" s="259">
        <v>2</v>
      </c>
      <c r="B88" s="360"/>
      <c r="C88" s="287" t="s">
        <v>461</v>
      </c>
      <c r="D88" s="336" t="s">
        <v>492</v>
      </c>
      <c r="E88" s="340">
        <v>24.2</v>
      </c>
      <c r="F88" s="258">
        <v>2</v>
      </c>
      <c r="G88" s="258">
        <f>E88*F88</f>
        <v>48.4</v>
      </c>
      <c r="H88" s="338">
        <v>2</v>
      </c>
      <c r="I88" s="338">
        <v>48.4</v>
      </c>
      <c r="J88" s="338"/>
      <c r="K88" s="338"/>
      <c r="L88" s="338"/>
      <c r="M88" s="338"/>
      <c r="N88" s="338"/>
      <c r="O88" s="338"/>
      <c r="P88" s="296" t="s">
        <v>510</v>
      </c>
      <c r="Q88" s="301"/>
      <c r="R88" s="259">
        <v>166</v>
      </c>
      <c r="S88" s="329"/>
      <c r="T88" s="358"/>
    </row>
    <row r="89" spans="1:20" s="308" customFormat="1" ht="17.25" customHeight="1">
      <c r="A89" s="259">
        <v>3</v>
      </c>
      <c r="B89" s="360"/>
      <c r="C89" s="125" t="s">
        <v>462</v>
      </c>
      <c r="D89" s="301" t="s">
        <v>498</v>
      </c>
      <c r="E89" s="288">
        <v>1200</v>
      </c>
      <c r="F89" s="122">
        <v>1</v>
      </c>
      <c r="G89" s="288">
        <f>E89*F89</f>
        <v>1200</v>
      </c>
      <c r="H89" s="338"/>
      <c r="I89" s="338">
        <v>300</v>
      </c>
      <c r="J89" s="338"/>
      <c r="K89" s="338">
        <v>300</v>
      </c>
      <c r="L89" s="338"/>
      <c r="M89" s="338">
        <v>600</v>
      </c>
      <c r="N89" s="338"/>
      <c r="O89" s="338"/>
      <c r="P89" s="296" t="s">
        <v>510</v>
      </c>
      <c r="Q89" s="301"/>
      <c r="R89" s="259">
        <v>167</v>
      </c>
      <c r="S89" s="329"/>
      <c r="T89" s="358"/>
    </row>
    <row r="90" spans="1:20" ht="15.75" customHeight="1">
      <c r="A90" s="332" t="s">
        <v>556</v>
      </c>
      <c r="B90" s="332"/>
      <c r="C90" s="332"/>
      <c r="D90" s="332"/>
      <c r="E90" s="332"/>
      <c r="F90" s="332"/>
      <c r="G90" s="359">
        <f>SUM(G87:G89)</f>
        <v>1259</v>
      </c>
      <c r="H90" s="321"/>
      <c r="I90" s="359">
        <f>SUM(I87:I89)</f>
        <v>359</v>
      </c>
      <c r="J90" s="359"/>
      <c r="K90" s="359">
        <f>SUM(K87:K89)</f>
        <v>300</v>
      </c>
      <c r="L90" s="321"/>
      <c r="M90" s="359">
        <f>SUM(M87:M89)</f>
        <v>600</v>
      </c>
      <c r="N90" s="321"/>
      <c r="O90" s="359">
        <f>SUM(O87:O89)</f>
        <v>0</v>
      </c>
      <c r="P90" s="322"/>
      <c r="Q90" s="322"/>
      <c r="R90" s="361"/>
      <c r="S90" s="322"/>
      <c r="T90" s="323">
        <f>G90/G91</f>
        <v>0.013283112827330077</v>
      </c>
    </row>
    <row r="91" spans="1:20" ht="15.75" customHeight="1">
      <c r="A91" s="332" t="s">
        <v>557</v>
      </c>
      <c r="B91" s="332"/>
      <c r="C91" s="332"/>
      <c r="D91" s="332"/>
      <c r="E91" s="332"/>
      <c r="F91" s="332"/>
      <c r="G91" s="359">
        <f>G90+G85+G79+G73+G59+G51+G39-0.01</f>
        <v>94782.00000000004</v>
      </c>
      <c r="H91" s="321"/>
      <c r="I91" s="359">
        <f>I90+I85+I79+I73+I59+I51+I39</f>
        <v>21734.137566666675</v>
      </c>
      <c r="J91" s="321"/>
      <c r="K91" s="359">
        <f>K90+K85+K79+K73+K59+K51+K39</f>
        <v>25414.982566666677</v>
      </c>
      <c r="L91" s="321"/>
      <c r="M91" s="359">
        <f>M90+M85+M79+M73+M59+M51+M39</f>
        <v>24796.335566666672</v>
      </c>
      <c r="N91" s="321"/>
      <c r="O91" s="359">
        <f>O90+O85+O79+O73+O59+O51+O39</f>
        <v>22836.567566666676</v>
      </c>
      <c r="P91" s="322"/>
      <c r="Q91" s="322"/>
      <c r="R91" s="322"/>
      <c r="S91" s="322"/>
      <c r="T91" s="362">
        <f>T90+T85+T79+T73+T59+T51+T39</f>
        <v>1.0000001055052647</v>
      </c>
    </row>
    <row r="92" spans="1:20" s="367" customFormat="1" ht="15.75" customHeight="1">
      <c r="A92" s="363"/>
      <c r="B92" s="363"/>
      <c r="C92" s="364"/>
      <c r="D92" s="365"/>
      <c r="E92" s="365"/>
      <c r="F92" s="365"/>
      <c r="G92" s="366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</row>
    <row r="93" spans="1:20" s="367" customFormat="1" ht="15.75" customHeight="1">
      <c r="A93" s="363"/>
      <c r="B93" s="363"/>
      <c r="C93" s="368"/>
      <c r="D93" s="363"/>
      <c r="E93" s="363"/>
      <c r="F93" s="369"/>
      <c r="G93" s="370"/>
      <c r="H93" s="370"/>
      <c r="I93" s="371"/>
      <c r="J93" s="371"/>
      <c r="K93" s="371"/>
      <c r="L93" s="371"/>
      <c r="M93" s="371"/>
      <c r="N93" s="371"/>
      <c r="O93" s="371"/>
      <c r="P93" s="363"/>
      <c r="Q93" s="363"/>
      <c r="R93" s="365"/>
      <c r="S93" s="365"/>
      <c r="T93" s="365"/>
    </row>
    <row r="94" spans="1:20" s="367" customFormat="1" ht="15.75" customHeight="1">
      <c r="A94" s="363"/>
      <c r="B94" s="363"/>
      <c r="C94" s="368"/>
      <c r="D94" s="363"/>
      <c r="E94" s="363"/>
      <c r="F94" s="369"/>
      <c r="G94" s="372"/>
      <c r="H94" s="372"/>
      <c r="I94" s="373"/>
      <c r="J94" s="371"/>
      <c r="K94" s="374"/>
      <c r="L94" s="371"/>
      <c r="M94" s="374"/>
      <c r="N94" s="371"/>
      <c r="O94" s="374"/>
      <c r="P94" s="363"/>
      <c r="Q94" s="363"/>
      <c r="R94" s="365"/>
      <c r="S94" s="365"/>
      <c r="T94" s="365"/>
    </row>
    <row r="95" spans="1:20" s="367" customFormat="1" ht="15.75" customHeight="1">
      <c r="A95" s="375"/>
      <c r="B95" s="376" t="s">
        <v>558</v>
      </c>
      <c r="C95" s="377" t="s">
        <v>559</v>
      </c>
      <c r="D95" s="378"/>
      <c r="E95" s="378"/>
      <c r="F95" s="378"/>
      <c r="G95" s="379"/>
      <c r="H95" s="378"/>
      <c r="I95" s="380"/>
      <c r="J95" s="380"/>
      <c r="K95" s="380"/>
      <c r="L95" s="378"/>
      <c r="M95" s="381"/>
      <c r="N95" s="382" t="s">
        <v>355</v>
      </c>
      <c r="O95" s="382"/>
      <c r="P95" s="383"/>
      <c r="Q95" s="383"/>
      <c r="R95" s="384"/>
      <c r="S95" s="385"/>
      <c r="T95" s="386"/>
    </row>
    <row r="96" spans="1:20" s="367" customFormat="1" ht="17.25" customHeight="1">
      <c r="A96" s="384"/>
      <c r="B96" s="377"/>
      <c r="C96" s="377" t="s">
        <v>32</v>
      </c>
      <c r="D96" s="378"/>
      <c r="E96" s="384"/>
      <c r="F96" s="378"/>
      <c r="G96" s="387"/>
      <c r="H96" s="378"/>
      <c r="I96" s="388" t="s">
        <v>30</v>
      </c>
      <c r="J96" s="388"/>
      <c r="K96" s="388"/>
      <c r="L96" s="378"/>
      <c r="M96" s="389"/>
      <c r="N96" s="383" t="s">
        <v>357</v>
      </c>
      <c r="O96" s="383"/>
      <c r="P96" s="383"/>
      <c r="Q96" s="383"/>
      <c r="R96" s="384"/>
      <c r="S96" s="385"/>
      <c r="T96" s="386"/>
    </row>
    <row r="100" ht="23.25" customHeight="1"/>
    <row r="103" ht="23.2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1">
    <mergeCell ref="A1:T1"/>
    <mergeCell ref="A2:A5"/>
    <mergeCell ref="B2:B5"/>
    <mergeCell ref="C2:C5"/>
    <mergeCell ref="D2:D5"/>
    <mergeCell ref="E2:E5"/>
    <mergeCell ref="F2:G2"/>
    <mergeCell ref="H2:O2"/>
    <mergeCell ref="P2:P5"/>
    <mergeCell ref="Q2:Q5"/>
    <mergeCell ref="R2:R5"/>
    <mergeCell ref="S2:S5"/>
    <mergeCell ref="T2:T5"/>
    <mergeCell ref="F3:F5"/>
    <mergeCell ref="G3:G5"/>
    <mergeCell ref="H3:I3"/>
    <mergeCell ref="J3:K3"/>
    <mergeCell ref="L3:M3"/>
    <mergeCell ref="N3:O3"/>
    <mergeCell ref="H4:H5"/>
    <mergeCell ref="I4:I5"/>
    <mergeCell ref="J4:J5"/>
    <mergeCell ref="K4:K5"/>
    <mergeCell ref="L4:L5"/>
    <mergeCell ref="M4:M5"/>
    <mergeCell ref="N4:N5"/>
    <mergeCell ref="O4:O5"/>
    <mergeCell ref="A7:T7"/>
    <mergeCell ref="B13:B14"/>
    <mergeCell ref="B16:B17"/>
    <mergeCell ref="B18:B31"/>
    <mergeCell ref="B32:B38"/>
    <mergeCell ref="A39:F39"/>
    <mergeCell ref="A40:T40"/>
    <mergeCell ref="B41:B42"/>
    <mergeCell ref="B43:B49"/>
    <mergeCell ref="A51:F51"/>
    <mergeCell ref="A52:T52"/>
    <mergeCell ref="B53:B56"/>
    <mergeCell ref="A59:F59"/>
    <mergeCell ref="A60:T60"/>
    <mergeCell ref="B62:B64"/>
    <mergeCell ref="B65:B69"/>
    <mergeCell ref="B70:B72"/>
    <mergeCell ref="A73:F73"/>
    <mergeCell ref="A74:T74"/>
    <mergeCell ref="B75:B77"/>
    <mergeCell ref="A79:F79"/>
    <mergeCell ref="A80:T80"/>
    <mergeCell ref="B81:B84"/>
    <mergeCell ref="A85:F85"/>
    <mergeCell ref="A86:T86"/>
    <mergeCell ref="B87:B89"/>
    <mergeCell ref="A90:F90"/>
    <mergeCell ref="A91:F91"/>
    <mergeCell ref="I95:K95"/>
    <mergeCell ref="N95:O95"/>
    <mergeCell ref="P95:Q95"/>
    <mergeCell ref="I96:K96"/>
    <mergeCell ref="N96:O96"/>
    <mergeCell ref="P96:Q96"/>
  </mergeCells>
  <printOptions/>
  <pageMargins left="0.39375" right="0.39375" top="0.39375" bottom="0.39375" header="0.5118055555555555" footer="0.5118055555555555"/>
  <pageSetup horizontalDpi="300" verticalDpi="300" orientation="landscape" paperSize="9" scale="39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36"/>
  <sheetViews>
    <sheetView view="pageBreakPreview" zoomScaleNormal="90" zoomScaleSheetLayoutView="100" workbookViewId="0" topLeftCell="A18">
      <selection activeCell="F42" sqref="F42"/>
    </sheetView>
  </sheetViews>
  <sheetFormatPr defaultColWidth="10.28125" defaultRowHeight="15" customHeight="1"/>
  <cols>
    <col min="1" max="1" width="5.28125" style="0" customWidth="1"/>
    <col min="2" max="2" width="12.421875" style="0" customWidth="1"/>
    <col min="3" max="3" width="23.28125" style="0" customWidth="1"/>
    <col min="4" max="4" width="13.140625" style="0" customWidth="1"/>
    <col min="5" max="5" width="10.140625" style="0" customWidth="1"/>
    <col min="6" max="6" width="13.140625" style="0" customWidth="1"/>
    <col min="7" max="7" width="16.140625" style="0" customWidth="1"/>
    <col min="8" max="8" width="9.7109375" style="0" customWidth="1"/>
    <col min="9" max="9" width="7.00390625" style="0" customWidth="1"/>
    <col min="10" max="10" width="11.421875" style="0" customWidth="1"/>
    <col min="11" max="11" width="14.28125" style="0" customWidth="1"/>
    <col min="12" max="12" width="15.00390625" style="0" customWidth="1"/>
    <col min="13" max="13" width="13.140625" style="0" customWidth="1"/>
    <col min="14" max="14" width="12.28125" style="0" customWidth="1"/>
    <col min="15" max="15" width="15.7109375" style="0" customWidth="1"/>
    <col min="16" max="16" width="8.8515625" style="0" customWidth="1"/>
    <col min="17" max="16384" width="10.421875" style="0" customWidth="1"/>
  </cols>
  <sheetData>
    <row r="1" spans="1:16" ht="15.7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customHeight="1">
      <c r="A2" s="36" t="s">
        <v>1</v>
      </c>
      <c r="B2" s="37" t="s">
        <v>34</v>
      </c>
      <c r="C2" s="37"/>
      <c r="D2" s="38" t="s">
        <v>3</v>
      </c>
      <c r="E2" s="38"/>
      <c r="F2" s="36" t="s">
        <v>4</v>
      </c>
      <c r="G2" s="36"/>
      <c r="H2" s="36"/>
      <c r="I2" s="36"/>
      <c r="J2" s="36"/>
      <c r="K2" s="36"/>
      <c r="L2" s="36"/>
      <c r="M2" s="36"/>
      <c r="N2" s="36"/>
      <c r="O2" s="36" t="s">
        <v>35</v>
      </c>
      <c r="P2" s="36" t="s">
        <v>36</v>
      </c>
    </row>
    <row r="3" spans="1:16" ht="42.75" customHeight="1">
      <c r="A3" s="36"/>
      <c r="B3" s="37"/>
      <c r="C3" s="37"/>
      <c r="D3" s="38"/>
      <c r="E3" s="38"/>
      <c r="F3" s="39" t="s">
        <v>5</v>
      </c>
      <c r="G3" s="39"/>
      <c r="H3" s="39"/>
      <c r="I3" s="39"/>
      <c r="J3" s="39"/>
      <c r="K3" s="39" t="s">
        <v>6</v>
      </c>
      <c r="L3" s="39" t="s">
        <v>7</v>
      </c>
      <c r="M3" s="39" t="s">
        <v>8</v>
      </c>
      <c r="N3" s="39" t="s">
        <v>9</v>
      </c>
      <c r="O3" s="36"/>
      <c r="P3" s="36"/>
    </row>
    <row r="4" spans="1:16" ht="26.25" customHeight="1">
      <c r="A4" s="36"/>
      <c r="B4" s="37"/>
      <c r="C4" s="37"/>
      <c r="D4" s="36" t="s">
        <v>37</v>
      </c>
      <c r="E4" s="36" t="s">
        <v>11</v>
      </c>
      <c r="F4" s="36" t="s">
        <v>38</v>
      </c>
      <c r="G4" s="36"/>
      <c r="H4" s="36" t="s">
        <v>39</v>
      </c>
      <c r="I4" s="36"/>
      <c r="J4" s="36"/>
      <c r="K4" s="36" t="s">
        <v>37</v>
      </c>
      <c r="L4" s="36" t="s">
        <v>37</v>
      </c>
      <c r="M4" s="36" t="s">
        <v>37</v>
      </c>
      <c r="N4" s="36" t="s">
        <v>37</v>
      </c>
      <c r="O4" s="36"/>
      <c r="P4" s="36"/>
    </row>
    <row r="5" spans="1:16" ht="19.5" customHeight="1">
      <c r="A5" s="36"/>
      <c r="B5" s="37"/>
      <c r="C5" s="37"/>
      <c r="D5" s="36"/>
      <c r="E5" s="36"/>
      <c r="F5" s="36"/>
      <c r="G5" s="36"/>
      <c r="H5" s="36" t="s">
        <v>40</v>
      </c>
      <c r="I5" s="36"/>
      <c r="J5" s="36" t="s">
        <v>41</v>
      </c>
      <c r="K5" s="36"/>
      <c r="L5" s="36"/>
      <c r="M5" s="36"/>
      <c r="N5" s="36"/>
      <c r="O5" s="36"/>
      <c r="P5" s="36"/>
    </row>
    <row r="6" spans="1:16" ht="25.5" customHeight="1">
      <c r="A6" s="36"/>
      <c r="B6" s="37"/>
      <c r="C6" s="37"/>
      <c r="D6" s="36"/>
      <c r="E6" s="36"/>
      <c r="F6" s="36" t="s">
        <v>37</v>
      </c>
      <c r="G6" s="36" t="s">
        <v>11</v>
      </c>
      <c r="H6" s="36" t="s">
        <v>42</v>
      </c>
      <c r="I6" s="36" t="s">
        <v>11</v>
      </c>
      <c r="J6" s="36"/>
      <c r="K6" s="36"/>
      <c r="L6" s="36"/>
      <c r="M6" s="36"/>
      <c r="N6" s="36"/>
      <c r="O6" s="38" t="s">
        <v>43</v>
      </c>
      <c r="P6" s="36"/>
    </row>
    <row r="7" spans="1:16" ht="15" customHeight="1">
      <c r="A7" s="40">
        <v>1</v>
      </c>
      <c r="B7" s="40">
        <v>2</v>
      </c>
      <c r="C7" s="40"/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</row>
    <row r="8" spans="1:16" s="44" customFormat="1" ht="43.5" customHeight="1">
      <c r="A8" s="37" t="s">
        <v>44</v>
      </c>
      <c r="B8" s="37" t="s">
        <v>45</v>
      </c>
      <c r="C8" s="37"/>
      <c r="D8" s="41">
        <f>SUM(D9,D16,D23,D27,D31)</f>
        <v>412771.25</v>
      </c>
      <c r="E8" s="42">
        <f>IF(D36=0,0,D8/D36)</f>
        <v>0.9745559780276624</v>
      </c>
      <c r="F8" s="41">
        <f>SUM(F9,F16,F23,F27,F31)</f>
        <v>73882.44</v>
      </c>
      <c r="G8" s="42">
        <f>IF(F36=0,0,F8/F36)</f>
        <v>0.9716541878063188</v>
      </c>
      <c r="H8" s="41"/>
      <c r="I8" s="41"/>
      <c r="J8" s="41"/>
      <c r="K8" s="41">
        <f>F8</f>
        <v>73882.44</v>
      </c>
      <c r="L8" s="41">
        <f>F8</f>
        <v>73882.44</v>
      </c>
      <c r="M8" s="41">
        <f>F8</f>
        <v>73882.44</v>
      </c>
      <c r="N8" s="41">
        <f>F8</f>
        <v>73882.44</v>
      </c>
      <c r="O8" s="43"/>
      <c r="P8" s="43"/>
    </row>
    <row r="9" spans="1:16" s="44" customFormat="1" ht="42.75" customHeight="1">
      <c r="A9" s="37" t="s">
        <v>46</v>
      </c>
      <c r="B9" s="37" t="s">
        <v>47</v>
      </c>
      <c r="C9" s="37"/>
      <c r="D9" s="41">
        <f>SUM(D10:D15)</f>
        <v>0</v>
      </c>
      <c r="E9" s="42">
        <f>IF(D36=0,0,D9/D36)</f>
        <v>0</v>
      </c>
      <c r="F9" s="41">
        <f>SUM(F10:F14)</f>
        <v>0</v>
      </c>
      <c r="G9" s="42">
        <f>IF(F36=0,0,F9/F36)</f>
        <v>0</v>
      </c>
      <c r="H9" s="41"/>
      <c r="I9" s="45"/>
      <c r="J9" s="45"/>
      <c r="K9" s="41">
        <f>F9</f>
        <v>0</v>
      </c>
      <c r="L9" s="41">
        <f>F9</f>
        <v>0</v>
      </c>
      <c r="M9" s="41">
        <f>F9</f>
        <v>0</v>
      </c>
      <c r="N9" s="41">
        <f>F9</f>
        <v>0</v>
      </c>
      <c r="O9" s="43"/>
      <c r="P9" s="43"/>
    </row>
    <row r="10" spans="1:16" s="44" customFormat="1" ht="23.25" customHeight="1">
      <c r="A10" s="37"/>
      <c r="B10" s="37" t="s">
        <v>48</v>
      </c>
      <c r="C10" s="37" t="s">
        <v>49</v>
      </c>
      <c r="D10" s="41">
        <f>SUM(F10,K10:N10)</f>
        <v>0</v>
      </c>
      <c r="E10" s="42">
        <f>IF(D36=0,0,D10/D36)</f>
        <v>0</v>
      </c>
      <c r="F10" s="46">
        <v>0</v>
      </c>
      <c r="G10" s="42">
        <f>IF(F36=0,0,F10/F36)</f>
        <v>0</v>
      </c>
      <c r="H10" s="46"/>
      <c r="I10" s="45"/>
      <c r="J10" s="45"/>
      <c r="K10" s="41">
        <f>F10</f>
        <v>0</v>
      </c>
      <c r="L10" s="41">
        <f>F10</f>
        <v>0</v>
      </c>
      <c r="M10" s="41">
        <f>F10</f>
        <v>0</v>
      </c>
      <c r="N10" s="41">
        <f>F10</f>
        <v>0</v>
      </c>
      <c r="O10" s="43"/>
      <c r="P10" s="43"/>
    </row>
    <row r="11" spans="1:16" s="44" customFormat="1" ht="23.25" customHeight="1">
      <c r="A11" s="37"/>
      <c r="B11" s="37" t="s">
        <v>50</v>
      </c>
      <c r="C11" s="37" t="s">
        <v>51</v>
      </c>
      <c r="D11" s="41">
        <f>SUM(F11,K11:N11)</f>
        <v>0</v>
      </c>
      <c r="E11" s="42">
        <f>IF(D36=0,0,D11/D36)</f>
        <v>0</v>
      </c>
      <c r="F11" s="46">
        <v>0</v>
      </c>
      <c r="G11" s="42">
        <f>IF(F36=0,0,F11/F36)</f>
        <v>0</v>
      </c>
      <c r="H11" s="46"/>
      <c r="I11" s="45"/>
      <c r="J11" s="45"/>
      <c r="K11" s="41">
        <f>F11</f>
        <v>0</v>
      </c>
      <c r="L11" s="41">
        <f>F11</f>
        <v>0</v>
      </c>
      <c r="M11" s="41">
        <f>F11</f>
        <v>0</v>
      </c>
      <c r="N11" s="41">
        <f>F11</f>
        <v>0</v>
      </c>
      <c r="O11" s="43"/>
      <c r="P11" s="43"/>
    </row>
    <row r="12" spans="1:16" s="44" customFormat="1" ht="23.25" customHeight="1">
      <c r="A12" s="37"/>
      <c r="B12" s="37" t="s">
        <v>52</v>
      </c>
      <c r="C12" s="37" t="s">
        <v>53</v>
      </c>
      <c r="D12" s="41">
        <f>SUM(F12,K12:N12)</f>
        <v>0</v>
      </c>
      <c r="E12" s="42">
        <f>IF(D36=0,0,D12/D36)</f>
        <v>0</v>
      </c>
      <c r="F12" s="46">
        <v>0</v>
      </c>
      <c r="G12" s="42">
        <f>IF(F36=0,0,F12/F36)</f>
        <v>0</v>
      </c>
      <c r="H12" s="46"/>
      <c r="I12" s="45"/>
      <c r="J12" s="45"/>
      <c r="K12" s="41">
        <f>F12</f>
        <v>0</v>
      </c>
      <c r="L12" s="41">
        <f>F12</f>
        <v>0</v>
      </c>
      <c r="M12" s="41">
        <f>F12</f>
        <v>0</v>
      </c>
      <c r="N12" s="41">
        <f>F12</f>
        <v>0</v>
      </c>
      <c r="O12" s="43"/>
      <c r="P12" s="43"/>
    </row>
    <row r="13" spans="1:16" s="44" customFormat="1" ht="23.25" customHeight="1">
      <c r="A13" s="37"/>
      <c r="B13" s="37" t="s">
        <v>54</v>
      </c>
      <c r="C13" s="37" t="s">
        <v>55</v>
      </c>
      <c r="D13" s="41">
        <f>SUM(F13,K13:N13)</f>
        <v>0</v>
      </c>
      <c r="E13" s="42">
        <f>IF(D36=0,0,D13/D36)</f>
        <v>0</v>
      </c>
      <c r="F13" s="46">
        <v>0</v>
      </c>
      <c r="G13" s="42">
        <f>IF(F36=0,0,F13/F36)</f>
        <v>0</v>
      </c>
      <c r="H13" s="46"/>
      <c r="I13" s="45"/>
      <c r="J13" s="45"/>
      <c r="K13" s="41">
        <f>F13</f>
        <v>0</v>
      </c>
      <c r="L13" s="41">
        <f>F13</f>
        <v>0</v>
      </c>
      <c r="M13" s="41">
        <f>F13</f>
        <v>0</v>
      </c>
      <c r="N13" s="41">
        <f>F13</f>
        <v>0</v>
      </c>
      <c r="O13" s="43"/>
      <c r="P13" s="43"/>
    </row>
    <row r="14" spans="1:16" s="44" customFormat="1" ht="23.25" customHeight="1">
      <c r="A14" s="37"/>
      <c r="B14" s="37" t="s">
        <v>56</v>
      </c>
      <c r="C14" s="37" t="s">
        <v>57</v>
      </c>
      <c r="D14" s="41">
        <f>SUM(F14,K14:N14)</f>
        <v>0</v>
      </c>
      <c r="E14" s="42">
        <f>IF(D36=0,0,D14/D36)</f>
        <v>0</v>
      </c>
      <c r="F14" s="46">
        <f>0+F15</f>
        <v>0</v>
      </c>
      <c r="G14" s="42">
        <f>IF(F36=0,0,F14/F36)</f>
        <v>0</v>
      </c>
      <c r="H14" s="46"/>
      <c r="I14" s="45"/>
      <c r="J14" s="45"/>
      <c r="K14" s="41">
        <f>F14</f>
        <v>0</v>
      </c>
      <c r="L14" s="41">
        <f>F14</f>
        <v>0</v>
      </c>
      <c r="M14" s="41">
        <f>F14</f>
        <v>0</v>
      </c>
      <c r="N14" s="41">
        <f>F14</f>
        <v>0</v>
      </c>
      <c r="O14" s="43"/>
      <c r="P14" s="43"/>
    </row>
    <row r="15" spans="1:16" s="44" customFormat="1" ht="25.5" customHeight="1">
      <c r="A15" s="37"/>
      <c r="B15" s="37" t="s">
        <v>58</v>
      </c>
      <c r="C15" s="37" t="s">
        <v>59</v>
      </c>
      <c r="D15" s="41">
        <f>SUM(F15,K15:N15)</f>
        <v>0</v>
      </c>
      <c r="E15" s="42">
        <f>IF(D36=0,0,D15/D36)</f>
        <v>0</v>
      </c>
      <c r="F15" s="46">
        <v>0</v>
      </c>
      <c r="G15" s="42">
        <f>IF(F36=0,0,F15/F36)</f>
        <v>0</v>
      </c>
      <c r="H15" s="46"/>
      <c r="I15" s="45"/>
      <c r="J15" s="45"/>
      <c r="K15" s="41">
        <f>F15</f>
        <v>0</v>
      </c>
      <c r="L15" s="41">
        <f>F15</f>
        <v>0</v>
      </c>
      <c r="M15" s="41">
        <f>F15</f>
        <v>0</v>
      </c>
      <c r="N15" s="41">
        <f>F15</f>
        <v>0</v>
      </c>
      <c r="O15" s="43"/>
      <c r="P15" s="43"/>
    </row>
    <row r="16" spans="1:16" s="44" customFormat="1" ht="30" customHeight="1">
      <c r="A16" s="37" t="s">
        <v>60</v>
      </c>
      <c r="B16" s="37" t="s">
        <v>61</v>
      </c>
      <c r="C16" s="37"/>
      <c r="D16" s="41">
        <f>SUM(D17:D22)</f>
        <v>260007.9</v>
      </c>
      <c r="E16" s="42">
        <f>IF(D36=0,0,D16/D36)</f>
        <v>0.6138805773886108</v>
      </c>
      <c r="F16" s="41">
        <f>SUM(F17:F21)</f>
        <v>43329.770000000004</v>
      </c>
      <c r="G16" s="42">
        <f>IF(F36=0,0,F16/F36)</f>
        <v>0.5698451821188445</v>
      </c>
      <c r="H16" s="41"/>
      <c r="I16" s="41"/>
      <c r="J16" s="41"/>
      <c r="K16" s="41">
        <f>F16</f>
        <v>43329.770000000004</v>
      </c>
      <c r="L16" s="41">
        <f>F16</f>
        <v>43329.770000000004</v>
      </c>
      <c r="M16" s="41">
        <f>F16</f>
        <v>43329.770000000004</v>
      </c>
      <c r="N16" s="41">
        <f>F16</f>
        <v>43329.770000000004</v>
      </c>
      <c r="O16" s="43"/>
      <c r="P16" s="43"/>
    </row>
    <row r="17" spans="1:16" s="44" customFormat="1" ht="23.25" customHeight="1">
      <c r="A17" s="37"/>
      <c r="B17" s="37" t="s">
        <v>62</v>
      </c>
      <c r="C17" s="37" t="s">
        <v>49</v>
      </c>
      <c r="D17" s="41">
        <f>SUM(F17,K17:N17)</f>
        <v>112707.75</v>
      </c>
      <c r="E17" s="42">
        <f>IF(D36=0,0,D17/D36)</f>
        <v>0.2661038324072892</v>
      </c>
      <c r="F17" s="46">
        <v>22541.55</v>
      </c>
      <c r="G17" s="42">
        <f>IF(F36=0,0,F17/F36)</f>
        <v>0.29645192358489414</v>
      </c>
      <c r="H17" s="46"/>
      <c r="I17" s="45"/>
      <c r="J17" s="45">
        <v>5.4</v>
      </c>
      <c r="K17" s="41">
        <f>F17</f>
        <v>22541.55</v>
      </c>
      <c r="L17" s="41">
        <f>F17</f>
        <v>22541.55</v>
      </c>
      <c r="M17" s="41">
        <f>F17</f>
        <v>22541.55</v>
      </c>
      <c r="N17" s="41">
        <f>F17</f>
        <v>22541.55</v>
      </c>
      <c r="O17" s="43"/>
      <c r="P17" s="43"/>
    </row>
    <row r="18" spans="1:16" s="44" customFormat="1" ht="23.25" customHeight="1">
      <c r="A18" s="37"/>
      <c r="B18" s="37" t="s">
        <v>63</v>
      </c>
      <c r="C18" s="37" t="s">
        <v>51</v>
      </c>
      <c r="D18" s="41">
        <f>SUM(F18,K18:N18)</f>
        <v>21732.05</v>
      </c>
      <c r="E18" s="42">
        <f>IF(D36=0,0,D18/D36)</f>
        <v>0.051309530986705244</v>
      </c>
      <c r="F18" s="46">
        <v>4346.41</v>
      </c>
      <c r="G18" s="42">
        <f>IF(F36=0,0,F18/F36)</f>
        <v>0.057161180361981305</v>
      </c>
      <c r="H18" s="46"/>
      <c r="I18" s="45"/>
      <c r="J18" s="45">
        <v>7.4</v>
      </c>
      <c r="K18" s="41">
        <f>F18</f>
        <v>4346.41</v>
      </c>
      <c r="L18" s="41">
        <f>F18</f>
        <v>4346.41</v>
      </c>
      <c r="M18" s="41">
        <f>F18</f>
        <v>4346.41</v>
      </c>
      <c r="N18" s="41">
        <f>F18</f>
        <v>4346.41</v>
      </c>
      <c r="O18" s="43"/>
      <c r="P18" s="43"/>
    </row>
    <row r="19" spans="1:16" s="44" customFormat="1" ht="23.25" customHeight="1">
      <c r="A19" s="37"/>
      <c r="B19" s="37" t="s">
        <v>64</v>
      </c>
      <c r="C19" s="37" t="s">
        <v>65</v>
      </c>
      <c r="D19" s="41">
        <f>SUM(F19,K19:N19)</f>
        <v>31218.75</v>
      </c>
      <c r="E19" s="42">
        <f>IF(D36=0,0,D19/D36)</f>
        <v>0.07370769994046601</v>
      </c>
      <c r="F19" s="46">
        <v>6243.75</v>
      </c>
      <c r="G19" s="42">
        <f>IF(F36=0,0,F19/F36)</f>
        <v>0.08211377202912767</v>
      </c>
      <c r="H19" s="46"/>
      <c r="I19" s="45"/>
      <c r="J19" s="45">
        <v>3.4</v>
      </c>
      <c r="K19" s="41">
        <f>F19</f>
        <v>6243.75</v>
      </c>
      <c r="L19" s="41">
        <f>F19</f>
        <v>6243.75</v>
      </c>
      <c r="M19" s="41">
        <f>F19</f>
        <v>6243.75</v>
      </c>
      <c r="N19" s="41">
        <f>F19</f>
        <v>6243.75</v>
      </c>
      <c r="O19" s="43">
        <v>80.87</v>
      </c>
      <c r="P19" s="43"/>
    </row>
    <row r="20" spans="1:16" s="44" customFormat="1" ht="23.25" customHeight="1">
      <c r="A20" s="37"/>
      <c r="B20" s="37" t="s">
        <v>66</v>
      </c>
      <c r="C20" s="37" t="s">
        <v>55</v>
      </c>
      <c r="D20" s="41">
        <f>SUM(F20,K20:N20)</f>
        <v>0</v>
      </c>
      <c r="E20" s="42">
        <f>IF(D36=0,0,D20/D36)</f>
        <v>0</v>
      </c>
      <c r="F20" s="46">
        <v>0</v>
      </c>
      <c r="G20" s="42">
        <f>IF(F36=0,0,F20/F36)</f>
        <v>0</v>
      </c>
      <c r="H20" s="46"/>
      <c r="I20" s="45"/>
      <c r="J20" s="45">
        <v>5.8</v>
      </c>
      <c r="K20" s="41">
        <f>F20</f>
        <v>0</v>
      </c>
      <c r="L20" s="41">
        <f>F20</f>
        <v>0</v>
      </c>
      <c r="M20" s="41">
        <f>F20</f>
        <v>0</v>
      </c>
      <c r="N20" s="41">
        <f>F20</f>
        <v>0</v>
      </c>
      <c r="O20" s="43"/>
      <c r="P20" s="43"/>
    </row>
    <row r="21" spans="1:16" s="44" customFormat="1" ht="23.25" customHeight="1">
      <c r="A21" s="37"/>
      <c r="B21" s="37" t="s">
        <v>67</v>
      </c>
      <c r="C21" s="37" t="s">
        <v>57</v>
      </c>
      <c r="D21" s="41">
        <f>SUM(F21,K21:N21)</f>
        <v>50990.299999999996</v>
      </c>
      <c r="E21" s="42">
        <f>IF(D36=0,0,D21/D36)</f>
        <v>0.12038847590868769</v>
      </c>
      <c r="F21" s="46">
        <f>1526.25+F22</f>
        <v>10198.06</v>
      </c>
      <c r="G21" s="42">
        <f>IF(F36=0,0,F21/F36)</f>
        <v>0.13411830614284134</v>
      </c>
      <c r="H21" s="46"/>
      <c r="I21" s="45"/>
      <c r="J21" s="45">
        <v>4.9</v>
      </c>
      <c r="K21" s="41">
        <f>F21</f>
        <v>10198.06</v>
      </c>
      <c r="L21" s="41">
        <f>F21</f>
        <v>10198.06</v>
      </c>
      <c r="M21" s="41">
        <f>F21</f>
        <v>10198.06</v>
      </c>
      <c r="N21" s="41">
        <f>F21</f>
        <v>10198.06</v>
      </c>
      <c r="O21" s="43">
        <v>83.93</v>
      </c>
      <c r="P21" s="43"/>
    </row>
    <row r="22" spans="1:16" s="44" customFormat="1" ht="26.25" customHeight="1">
      <c r="A22" s="37"/>
      <c r="B22" s="37" t="s">
        <v>68</v>
      </c>
      <c r="C22" s="37" t="s">
        <v>59</v>
      </c>
      <c r="D22" s="41">
        <f>SUM(F22,K22:N22)</f>
        <v>43359.049999999996</v>
      </c>
      <c r="E22" s="42">
        <f>IF(D36=0,0,D22/D36)</f>
        <v>0.10237103814546267</v>
      </c>
      <c r="F22" s="46">
        <v>8671.81</v>
      </c>
      <c r="G22" s="42">
        <f>IF(F36=0,0,F22/F36)</f>
        <v>0.11404605075794347</v>
      </c>
      <c r="H22" s="46"/>
      <c r="I22" s="45"/>
      <c r="J22" s="45">
        <v>6.7</v>
      </c>
      <c r="K22" s="41">
        <f>F22</f>
        <v>8671.81</v>
      </c>
      <c r="L22" s="41">
        <f>F22</f>
        <v>8671.81</v>
      </c>
      <c r="M22" s="41">
        <f>F22</f>
        <v>8671.81</v>
      </c>
      <c r="N22" s="41">
        <f>F22</f>
        <v>8671.81</v>
      </c>
      <c r="O22" s="43">
        <v>83</v>
      </c>
      <c r="P22" s="43"/>
    </row>
    <row r="23" spans="1:16" s="44" customFormat="1" ht="44.25" customHeight="1">
      <c r="A23" s="37" t="s">
        <v>69</v>
      </c>
      <c r="B23" s="47" t="s">
        <v>70</v>
      </c>
      <c r="C23" s="47"/>
      <c r="D23" s="48">
        <f>SUM(D24:D26)</f>
        <v>7500</v>
      </c>
      <c r="E23" s="49">
        <f>IF(D36=0,0,D23/D36)</f>
        <v>0.017707555541253098</v>
      </c>
      <c r="F23" s="48">
        <f>SUM(F24:F26)</f>
        <v>1500</v>
      </c>
      <c r="G23" s="49">
        <f>IF(F36=0,0,F23/F36)</f>
        <v>0.01972703231930995</v>
      </c>
      <c r="H23" s="48"/>
      <c r="I23" s="48"/>
      <c r="J23" s="48"/>
      <c r="K23" s="41">
        <f>F23</f>
        <v>1500</v>
      </c>
      <c r="L23" s="41">
        <f>F23</f>
        <v>1500</v>
      </c>
      <c r="M23" s="41">
        <f>F23</f>
        <v>1500</v>
      </c>
      <c r="N23" s="41">
        <f>F23</f>
        <v>1500</v>
      </c>
      <c r="O23" s="43"/>
      <c r="P23" s="50"/>
    </row>
    <row r="24" spans="1:16" s="44" customFormat="1" ht="23.25" customHeight="1">
      <c r="A24" s="37"/>
      <c r="B24" s="47" t="s">
        <v>71</v>
      </c>
      <c r="C24" s="37" t="s">
        <v>49</v>
      </c>
      <c r="D24" s="48">
        <f>SUM(F24,J24:M24)</f>
        <v>0</v>
      </c>
      <c r="E24" s="49">
        <f>IF(D36=0,0,D24/D36)</f>
        <v>0</v>
      </c>
      <c r="F24" s="51">
        <v>0</v>
      </c>
      <c r="G24" s="42">
        <f>IF(F36=0,0,F24/F36)</f>
        <v>0</v>
      </c>
      <c r="H24" s="51"/>
      <c r="I24" s="52"/>
      <c r="J24" s="51"/>
      <c r="K24" s="41">
        <f>F24</f>
        <v>0</v>
      </c>
      <c r="L24" s="41">
        <f>F24</f>
        <v>0</v>
      </c>
      <c r="M24" s="41">
        <f>F24</f>
        <v>0</v>
      </c>
      <c r="N24" s="41">
        <f>F24</f>
        <v>0</v>
      </c>
      <c r="O24" s="43"/>
      <c r="P24" s="50"/>
    </row>
    <row r="25" spans="1:16" s="44" customFormat="1" ht="23.25" customHeight="1">
      <c r="A25" s="37"/>
      <c r="B25" s="47" t="s">
        <v>72</v>
      </c>
      <c r="C25" s="37" t="s">
        <v>51</v>
      </c>
      <c r="D25" s="48">
        <f>SUM(F25,J25:M25)</f>
        <v>0</v>
      </c>
      <c r="E25" s="49">
        <f>IF(D36=0,0,D25/D36)</f>
        <v>0</v>
      </c>
      <c r="F25" s="51">
        <v>0</v>
      </c>
      <c r="G25" s="42">
        <f>IF(F36=0,0,F25/F36)</f>
        <v>0</v>
      </c>
      <c r="H25" s="51"/>
      <c r="I25" s="52"/>
      <c r="J25" s="51"/>
      <c r="K25" s="41">
        <f>F25</f>
        <v>0</v>
      </c>
      <c r="L25" s="41">
        <f>F25</f>
        <v>0</v>
      </c>
      <c r="M25" s="41">
        <f>F25</f>
        <v>0</v>
      </c>
      <c r="N25" s="41">
        <f>F25</f>
        <v>0</v>
      </c>
      <c r="O25" s="43"/>
      <c r="P25" s="50"/>
    </row>
    <row r="26" spans="1:16" s="44" customFormat="1" ht="23.25" customHeight="1">
      <c r="A26" s="37"/>
      <c r="B26" s="47" t="s">
        <v>73</v>
      </c>
      <c r="C26" s="37" t="s">
        <v>65</v>
      </c>
      <c r="D26" s="41">
        <f>SUM(F26,K26:N26)</f>
        <v>7500</v>
      </c>
      <c r="E26" s="49">
        <f>IF(D36=0,0,D26/D36)</f>
        <v>0.017707555541253098</v>
      </c>
      <c r="F26" s="51">
        <v>1500</v>
      </c>
      <c r="G26" s="42">
        <f>IF(F36=0,0,F26/F36)</f>
        <v>0.01972703231930995</v>
      </c>
      <c r="H26" s="51"/>
      <c r="I26" s="52"/>
      <c r="J26" s="51">
        <v>3.4</v>
      </c>
      <c r="K26" s="41">
        <f>F26</f>
        <v>1500</v>
      </c>
      <c r="L26" s="41">
        <f>F26</f>
        <v>1500</v>
      </c>
      <c r="M26" s="41">
        <f>F26</f>
        <v>1500</v>
      </c>
      <c r="N26" s="41">
        <f>F26</f>
        <v>1500</v>
      </c>
      <c r="O26" s="43">
        <v>97</v>
      </c>
      <c r="P26" s="50"/>
    </row>
    <row r="27" spans="1:16" s="44" customFormat="1" ht="30" customHeight="1">
      <c r="A27" s="37" t="s">
        <v>74</v>
      </c>
      <c r="B27" s="47" t="s">
        <v>75</v>
      </c>
      <c r="C27" s="47"/>
      <c r="D27" s="48">
        <f>SUM(D28:D30)</f>
        <v>32566.65</v>
      </c>
      <c r="E27" s="49">
        <f>IF(D36=0,0,D27/D36)</f>
        <v>0.07689010182234003</v>
      </c>
      <c r="F27" s="48">
        <f>SUM(F28:F30)</f>
        <v>6513.33</v>
      </c>
      <c r="G27" s="49">
        <f>IF(F36=0,0,F27/F36)</f>
        <v>0.08565911427755406</v>
      </c>
      <c r="H27" s="48"/>
      <c r="I27" s="48"/>
      <c r="J27" s="48"/>
      <c r="K27" s="41">
        <f>F27</f>
        <v>6513.33</v>
      </c>
      <c r="L27" s="41">
        <f>F27</f>
        <v>6513.33</v>
      </c>
      <c r="M27" s="41">
        <f>F27</f>
        <v>6513.33</v>
      </c>
      <c r="N27" s="41">
        <f>F27</f>
        <v>6513.33</v>
      </c>
      <c r="O27" s="43"/>
      <c r="P27" s="50"/>
    </row>
    <row r="28" spans="1:16" s="44" customFormat="1" ht="23.25" customHeight="1">
      <c r="A28" s="37"/>
      <c r="B28" s="47" t="s">
        <v>76</v>
      </c>
      <c r="C28" s="37" t="s">
        <v>49</v>
      </c>
      <c r="D28" s="41">
        <f>SUM(F28,K28:N28)</f>
        <v>0</v>
      </c>
      <c r="E28" s="49">
        <f>IF(D36=0,0,D28/D36)</f>
        <v>0</v>
      </c>
      <c r="F28" s="51"/>
      <c r="G28" s="42">
        <f>IF(F36=0,0,F28/F36)</f>
        <v>0</v>
      </c>
      <c r="H28" s="51"/>
      <c r="I28" s="52"/>
      <c r="J28" s="51"/>
      <c r="K28" s="41">
        <f>F28</f>
        <v>0</v>
      </c>
      <c r="L28" s="41">
        <f>F28</f>
        <v>0</v>
      </c>
      <c r="M28" s="41">
        <f>F28</f>
        <v>0</v>
      </c>
      <c r="N28" s="41">
        <f>F28</f>
        <v>0</v>
      </c>
      <c r="O28" s="43" t="s">
        <v>77</v>
      </c>
      <c r="P28" s="50"/>
    </row>
    <row r="29" spans="1:16" s="44" customFormat="1" ht="23.25" customHeight="1">
      <c r="A29" s="37"/>
      <c r="B29" s="47" t="s">
        <v>78</v>
      </c>
      <c r="C29" s="37" t="s">
        <v>51</v>
      </c>
      <c r="D29" s="41">
        <f>SUM(F29,K29:N29)</f>
        <v>5641.65</v>
      </c>
      <c r="E29" s="49">
        <f>IF(D36=0,0,D29/D36)</f>
        <v>0.013319977429241403</v>
      </c>
      <c r="F29" s="51">
        <v>1128.33</v>
      </c>
      <c r="G29" s="42">
        <f>IF(F36=0,0,F29/F36)</f>
        <v>0.01483906825123133</v>
      </c>
      <c r="H29" s="51"/>
      <c r="I29" s="52"/>
      <c r="J29" s="51">
        <v>4</v>
      </c>
      <c r="K29" s="41">
        <f>F29</f>
        <v>1128.33</v>
      </c>
      <c r="L29" s="41">
        <f>F29</f>
        <v>1128.33</v>
      </c>
      <c r="M29" s="41">
        <f>F29</f>
        <v>1128.33</v>
      </c>
      <c r="N29" s="41">
        <f>F29</f>
        <v>1128.33</v>
      </c>
      <c r="O29" s="43" t="s">
        <v>79</v>
      </c>
      <c r="P29" s="50"/>
    </row>
    <row r="30" spans="1:16" s="44" customFormat="1" ht="23.25" customHeight="1">
      <c r="A30" s="37"/>
      <c r="B30" s="47" t="s">
        <v>80</v>
      </c>
      <c r="C30" s="37" t="s">
        <v>65</v>
      </c>
      <c r="D30" s="41">
        <f>SUM(F30,K30:N30)</f>
        <v>26925</v>
      </c>
      <c r="E30" s="49">
        <f>IF(D36=0,0,D30/D36)</f>
        <v>0.06357012439309861</v>
      </c>
      <c r="F30" s="51">
        <f>2000+3385</f>
        <v>5385</v>
      </c>
      <c r="G30" s="42">
        <f>IF(F36=0,0,F30/F36)</f>
        <v>0.07082004602632272</v>
      </c>
      <c r="H30" s="51"/>
      <c r="I30" s="52"/>
      <c r="J30" s="51">
        <v>2.2</v>
      </c>
      <c r="K30" s="41">
        <f>F30</f>
        <v>5385</v>
      </c>
      <c r="L30" s="41">
        <f>F30</f>
        <v>5385</v>
      </c>
      <c r="M30" s="41">
        <f>F30</f>
        <v>5385</v>
      </c>
      <c r="N30" s="41">
        <f>F30</f>
        <v>5385</v>
      </c>
      <c r="O30" s="43"/>
      <c r="P30" s="50"/>
    </row>
    <row r="31" spans="1:16" s="44" customFormat="1" ht="30" customHeight="1">
      <c r="A31" s="37" t="s">
        <v>81</v>
      </c>
      <c r="B31" s="47" t="s">
        <v>82</v>
      </c>
      <c r="C31" s="47"/>
      <c r="D31" s="48">
        <f>SUM(D32:D34)</f>
        <v>112696.69999999998</v>
      </c>
      <c r="E31" s="49">
        <f>IF(D36=0,0,D31/D36)</f>
        <v>0.26607774327545836</v>
      </c>
      <c r="F31" s="48">
        <f>SUM(F32:F34)</f>
        <v>22539.339999999997</v>
      </c>
      <c r="G31" s="49">
        <f>IF(F36=0,0,F31/F36)</f>
        <v>0.29642285909061034</v>
      </c>
      <c r="H31" s="48"/>
      <c r="I31" s="48"/>
      <c r="J31" s="48"/>
      <c r="K31" s="41">
        <f>F31</f>
        <v>22539.339999999997</v>
      </c>
      <c r="L31" s="41">
        <f>F31</f>
        <v>22539.339999999997</v>
      </c>
      <c r="M31" s="41">
        <f>F31</f>
        <v>22539.339999999997</v>
      </c>
      <c r="N31" s="41">
        <f>F31</f>
        <v>22539.339999999997</v>
      </c>
      <c r="O31" s="43"/>
      <c r="P31" s="50"/>
    </row>
    <row r="32" spans="1:16" s="44" customFormat="1" ht="23.25" customHeight="1">
      <c r="A32" s="37"/>
      <c r="B32" s="47" t="s">
        <v>83</v>
      </c>
      <c r="C32" s="37" t="s">
        <v>49</v>
      </c>
      <c r="D32" s="41">
        <f>SUM(F32,K32:N32)</f>
        <v>99644.59999999999</v>
      </c>
      <c r="E32" s="49">
        <f>IF(D36=0,0,D32/D36)</f>
        <v>0.23526163851812643</v>
      </c>
      <c r="F32" s="51">
        <f>21057.25-1128.33</f>
        <v>19928.92</v>
      </c>
      <c r="G32" s="42">
        <f>IF(F36=0,0,F32/F36)</f>
        <v>0.2620922992859616</v>
      </c>
      <c r="H32" s="51"/>
      <c r="I32" s="52"/>
      <c r="J32" s="51">
        <v>2.7</v>
      </c>
      <c r="K32" s="41">
        <f>F32</f>
        <v>19928.92</v>
      </c>
      <c r="L32" s="41">
        <f>F32</f>
        <v>19928.92</v>
      </c>
      <c r="M32" s="41">
        <f>F32</f>
        <v>19928.92</v>
      </c>
      <c r="N32" s="41">
        <f>F32</f>
        <v>19928.92</v>
      </c>
      <c r="O32" s="43" t="s">
        <v>84</v>
      </c>
      <c r="P32" s="50"/>
    </row>
    <row r="33" spans="1:16" s="44" customFormat="1" ht="23.25" customHeight="1">
      <c r="A33" s="37"/>
      <c r="B33" s="47" t="s">
        <v>85</v>
      </c>
      <c r="C33" s="37" t="s">
        <v>51</v>
      </c>
      <c r="D33" s="41">
        <f>SUM(F33,K33:N33)</f>
        <v>3066.5</v>
      </c>
      <c r="E33" s="49">
        <f>IF(D36=0,0,D33/D36)</f>
        <v>0.007240029208967016</v>
      </c>
      <c r="F33" s="51">
        <f>280+333.3</f>
        <v>613.3</v>
      </c>
      <c r="G33" s="42">
        <f>IF(F36=0,0,F33/F36)</f>
        <v>0.00806572594762186</v>
      </c>
      <c r="H33" s="51"/>
      <c r="I33" s="52"/>
      <c r="J33" s="51">
        <v>4.8</v>
      </c>
      <c r="K33" s="41">
        <f>F33</f>
        <v>613.3</v>
      </c>
      <c r="L33" s="41">
        <f>F33</f>
        <v>613.3</v>
      </c>
      <c r="M33" s="41">
        <f>F33</f>
        <v>613.3</v>
      </c>
      <c r="N33" s="41">
        <f>F33</f>
        <v>613.3</v>
      </c>
      <c r="O33" s="43" t="s">
        <v>86</v>
      </c>
      <c r="P33" s="50"/>
    </row>
    <row r="34" spans="1:16" s="44" customFormat="1" ht="23.25" customHeight="1">
      <c r="A34" s="37"/>
      <c r="B34" s="47" t="s">
        <v>87</v>
      </c>
      <c r="C34" s="37" t="s">
        <v>88</v>
      </c>
      <c r="D34" s="41">
        <f>SUM(F34,K34:N34)</f>
        <v>9985.599999999999</v>
      </c>
      <c r="E34" s="49">
        <f>IF(D36=0,0,D34/D36)</f>
        <v>0.02357607554836492</v>
      </c>
      <c r="F34" s="51">
        <f>1618.8+378.32</f>
        <v>1997.12</v>
      </c>
      <c r="G34" s="42">
        <f>IF(F36=0,0,F34/F36)</f>
        <v>0.026264833857026857</v>
      </c>
      <c r="H34" s="51"/>
      <c r="I34" s="52"/>
      <c r="J34" s="51">
        <v>3.4</v>
      </c>
      <c r="K34" s="41">
        <f>F34</f>
        <v>1997.12</v>
      </c>
      <c r="L34" s="41">
        <f>F34</f>
        <v>1997.12</v>
      </c>
      <c r="M34" s="41">
        <f>F34</f>
        <v>1997.12</v>
      </c>
      <c r="N34" s="41">
        <f>F34</f>
        <v>1997.12</v>
      </c>
      <c r="O34" s="43">
        <v>96</v>
      </c>
      <c r="P34" s="50"/>
    </row>
    <row r="35" spans="1:16" s="44" customFormat="1" ht="23.25" customHeight="1">
      <c r="A35" s="37" t="s">
        <v>89</v>
      </c>
      <c r="B35" s="37" t="s">
        <v>25</v>
      </c>
      <c r="C35" s="37"/>
      <c r="D35" s="41">
        <f>SUM(F35,K35:N35)</f>
        <v>10776.765</v>
      </c>
      <c r="E35" s="42">
        <f>IF(D36=0,0,D35/D36)</f>
        <v>0.025444021972337656</v>
      </c>
      <c r="F35" s="46">
        <f>178.168+60.174+201.415+276.622+60.872+41.832+1336.27</f>
        <v>2155.353</v>
      </c>
      <c r="G35" s="42">
        <f>IF(F36=0,0,F35/F36)</f>
        <v>0.028345812193681107</v>
      </c>
      <c r="H35" s="46"/>
      <c r="I35" s="45"/>
      <c r="J35" s="45"/>
      <c r="K35" s="41">
        <f>F35</f>
        <v>2155.353</v>
      </c>
      <c r="L35" s="41">
        <f>F35</f>
        <v>2155.353</v>
      </c>
      <c r="M35" s="41">
        <f>F35</f>
        <v>2155.353</v>
      </c>
      <c r="N35" s="41">
        <f>F35</f>
        <v>2155.353</v>
      </c>
      <c r="O35" s="43" t="s">
        <v>90</v>
      </c>
      <c r="P35" s="43"/>
    </row>
    <row r="36" spans="1:16" s="44" customFormat="1" ht="23.25" customHeight="1">
      <c r="A36" s="36"/>
      <c r="B36" s="37" t="s">
        <v>26</v>
      </c>
      <c r="C36" s="37"/>
      <c r="D36" s="41">
        <f>SUM(D8,D35)</f>
        <v>423548.015</v>
      </c>
      <c r="E36" s="42"/>
      <c r="F36" s="41">
        <f>SUM(F8,F35)</f>
        <v>76037.793</v>
      </c>
      <c r="G36" s="53">
        <f>SUM(G8,G35)</f>
        <v>1</v>
      </c>
      <c r="H36" s="41"/>
      <c r="I36" s="45"/>
      <c r="J36" s="45"/>
      <c r="K36" s="41">
        <f>F36</f>
        <v>76037.793</v>
      </c>
      <c r="L36" s="41">
        <f>F36</f>
        <v>76037.793</v>
      </c>
      <c r="M36" s="41">
        <f>F36</f>
        <v>76037.793</v>
      </c>
      <c r="N36" s="41">
        <f>F36</f>
        <v>76037.793</v>
      </c>
      <c r="O36" s="43"/>
      <c r="P36" s="43"/>
    </row>
  </sheetData>
  <sheetProtection selectLockedCells="1" selectUnlockedCells="1"/>
  <mergeCells count="32">
    <mergeCell ref="A1:P1"/>
    <mergeCell ref="A2:A6"/>
    <mergeCell ref="B2:C6"/>
    <mergeCell ref="D2:E3"/>
    <mergeCell ref="F2:N2"/>
    <mergeCell ref="O2:O5"/>
    <mergeCell ref="P2:P6"/>
    <mergeCell ref="F3:J3"/>
    <mergeCell ref="D4:D6"/>
    <mergeCell ref="E4:E6"/>
    <mergeCell ref="F4:G5"/>
    <mergeCell ref="H4:J4"/>
    <mergeCell ref="K4:K6"/>
    <mergeCell ref="L4:L6"/>
    <mergeCell ref="M4:M6"/>
    <mergeCell ref="N4:N6"/>
    <mergeCell ref="H5:I5"/>
    <mergeCell ref="J5:J6"/>
    <mergeCell ref="B7:C7"/>
    <mergeCell ref="B8:C8"/>
    <mergeCell ref="A9:A15"/>
    <mergeCell ref="B9:C9"/>
    <mergeCell ref="A16:A22"/>
    <mergeCell ref="B16:C16"/>
    <mergeCell ref="A23:A26"/>
    <mergeCell ref="B23:C23"/>
    <mergeCell ref="A27:A30"/>
    <mergeCell ref="B27:C27"/>
    <mergeCell ref="A31:A34"/>
    <mergeCell ref="B31:C31"/>
    <mergeCell ref="B35:C35"/>
    <mergeCell ref="B36:C36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94"/>
  <sheetViews>
    <sheetView view="pageBreakPreview" zoomScaleNormal="74" zoomScaleSheetLayoutView="100" workbookViewId="0" topLeftCell="A1">
      <selection activeCell="D28" sqref="D28"/>
    </sheetView>
  </sheetViews>
  <sheetFormatPr defaultColWidth="9.140625" defaultRowHeight="15"/>
  <cols>
    <col min="1" max="1" width="9.421875" style="54" customWidth="1"/>
    <col min="2" max="2" width="16.140625" style="55" customWidth="1"/>
    <col min="3" max="3" width="60.140625" style="56" customWidth="1"/>
    <col min="4" max="4" width="42.140625" style="57" customWidth="1"/>
    <col min="5" max="5" width="12.140625" style="56" customWidth="1"/>
    <col min="6" max="6" width="19.140625" style="56" customWidth="1"/>
    <col min="7" max="7" width="21.421875" style="58" customWidth="1"/>
    <col min="8" max="8" width="25.140625" style="59" customWidth="1"/>
    <col min="9" max="9" width="22.00390625" style="60" customWidth="1"/>
    <col min="10" max="10" width="14.00390625" style="60" customWidth="1"/>
    <col min="11" max="11" width="11.7109375" style="60" customWidth="1"/>
    <col min="12" max="12" width="15.7109375" style="60" customWidth="1"/>
    <col min="13" max="16384" width="9.140625" style="60" customWidth="1"/>
  </cols>
  <sheetData>
    <row r="1" spans="1:11" s="62" customFormat="1" ht="19.5" customHeight="1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62" customFormat="1" ht="30.75" customHeight="1">
      <c r="A2" s="63" t="s">
        <v>1</v>
      </c>
      <c r="B2" s="64" t="s">
        <v>92</v>
      </c>
      <c r="C2" s="64" t="s">
        <v>93</v>
      </c>
      <c r="D2" s="65"/>
      <c r="E2" s="66" t="s">
        <v>94</v>
      </c>
      <c r="F2" s="67" t="s">
        <v>95</v>
      </c>
      <c r="G2" s="67"/>
      <c r="H2" s="68" t="s">
        <v>96</v>
      </c>
      <c r="I2" s="68" t="s">
        <v>97</v>
      </c>
      <c r="J2" s="68" t="s">
        <v>98</v>
      </c>
      <c r="K2" s="64" t="s">
        <v>36</v>
      </c>
    </row>
    <row r="3" spans="1:11" s="62" customFormat="1" ht="54.75" customHeight="1">
      <c r="A3" s="63"/>
      <c r="B3" s="64"/>
      <c r="C3" s="64"/>
      <c r="D3" s="69" t="s">
        <v>99</v>
      </c>
      <c r="E3" s="66"/>
      <c r="F3" s="70" t="s">
        <v>100</v>
      </c>
      <c r="G3" s="71" t="s">
        <v>101</v>
      </c>
      <c r="H3" s="68"/>
      <c r="I3" s="68"/>
      <c r="J3" s="68"/>
      <c r="K3" s="64"/>
    </row>
    <row r="4" spans="1:11" ht="18.75">
      <c r="A4" s="63" t="s">
        <v>102</v>
      </c>
      <c r="B4" s="64"/>
      <c r="C4" s="72" t="s">
        <v>103</v>
      </c>
      <c r="D4" s="69"/>
      <c r="E4" s="66"/>
      <c r="F4" s="70"/>
      <c r="G4" s="73">
        <f>G5</f>
        <v>22541.55</v>
      </c>
      <c r="H4" s="68"/>
      <c r="I4" s="68"/>
      <c r="J4" s="68"/>
      <c r="K4" s="64"/>
    </row>
    <row r="5" spans="1:11" ht="18.75">
      <c r="A5" s="63" t="s">
        <v>104</v>
      </c>
      <c r="B5" s="64"/>
      <c r="C5" s="74" t="s">
        <v>105</v>
      </c>
      <c r="D5" s="69"/>
      <c r="E5" s="66">
        <v>1140</v>
      </c>
      <c r="F5" s="70">
        <v>19.773</v>
      </c>
      <c r="G5" s="71">
        <v>22541.55</v>
      </c>
      <c r="H5" s="68"/>
      <c r="I5" s="68"/>
      <c r="J5" s="68"/>
      <c r="K5" s="64"/>
    </row>
    <row r="6" spans="1:11" ht="18.75">
      <c r="A6" s="63"/>
      <c r="B6" s="64"/>
      <c r="C6" s="74"/>
      <c r="D6" s="69"/>
      <c r="E6" s="66"/>
      <c r="F6" s="70"/>
      <c r="G6" s="71"/>
      <c r="H6" s="68"/>
      <c r="I6" s="68"/>
      <c r="J6" s="68"/>
      <c r="K6" s="64"/>
    </row>
    <row r="7" spans="1:12" ht="18.75">
      <c r="A7" s="63" t="s">
        <v>106</v>
      </c>
      <c r="B7" s="64"/>
      <c r="C7" s="72" t="s">
        <v>107</v>
      </c>
      <c r="D7" s="69"/>
      <c r="E7" s="66"/>
      <c r="F7" s="70"/>
      <c r="G7" s="73">
        <f>G8</f>
        <v>4346.41</v>
      </c>
      <c r="H7" s="68"/>
      <c r="I7" s="68"/>
      <c r="J7" s="68"/>
      <c r="K7" s="64"/>
      <c r="L7" s="75"/>
    </row>
    <row r="8" spans="1:11" ht="37.5">
      <c r="A8" s="63" t="s">
        <v>108</v>
      </c>
      <c r="B8" s="64"/>
      <c r="C8" s="74" t="s">
        <v>109</v>
      </c>
      <c r="D8" s="69"/>
      <c r="E8" s="66">
        <v>1476.01</v>
      </c>
      <c r="F8" s="70">
        <v>2.9450000000000003</v>
      </c>
      <c r="G8" s="71">
        <v>4346.41</v>
      </c>
      <c r="H8" s="68"/>
      <c r="I8" s="68"/>
      <c r="J8" s="68"/>
      <c r="K8" s="64"/>
    </row>
    <row r="9" spans="1:11" ht="18.75">
      <c r="A9" s="63"/>
      <c r="B9" s="64"/>
      <c r="C9" s="74"/>
      <c r="D9" s="69"/>
      <c r="E9" s="66"/>
      <c r="F9" s="70"/>
      <c r="G9" s="71"/>
      <c r="H9" s="68"/>
      <c r="I9" s="68"/>
      <c r="J9" s="68"/>
      <c r="K9" s="64"/>
    </row>
    <row r="10" spans="1:12" ht="37.5">
      <c r="A10" s="76" t="s">
        <v>110</v>
      </c>
      <c r="B10" s="77"/>
      <c r="C10" s="72" t="s">
        <v>111</v>
      </c>
      <c r="D10" s="78"/>
      <c r="E10" s="79">
        <f>G10/F10</f>
        <v>246.79999999999998</v>
      </c>
      <c r="F10" s="79">
        <f>SUM(F11:F24)</f>
        <v>35.137</v>
      </c>
      <c r="G10" s="80">
        <f>SUM(G11:G24)</f>
        <v>8671.811599999999</v>
      </c>
      <c r="H10" s="81"/>
      <c r="I10" s="82"/>
      <c r="J10" s="82"/>
      <c r="K10" s="82"/>
      <c r="L10" s="75"/>
    </row>
    <row r="11" spans="1:11" ht="18.75">
      <c r="A11" s="76"/>
      <c r="B11" s="83"/>
      <c r="C11" s="84" t="s">
        <v>112</v>
      </c>
      <c r="D11" s="85"/>
      <c r="E11" s="79"/>
      <c r="F11" s="86"/>
      <c r="G11" s="87"/>
      <c r="H11" s="81"/>
      <c r="I11" s="82"/>
      <c r="J11" s="82"/>
      <c r="K11" s="82"/>
    </row>
    <row r="12" spans="1:11" ht="18.75">
      <c r="A12" s="88" t="s">
        <v>113</v>
      </c>
      <c r="B12" s="83"/>
      <c r="C12" s="89" t="s">
        <v>114</v>
      </c>
      <c r="D12" s="90"/>
      <c r="E12" s="86">
        <v>246.8</v>
      </c>
      <c r="F12" s="91">
        <v>2.31</v>
      </c>
      <c r="G12" s="92">
        <f>F12*E12</f>
        <v>570.1080000000001</v>
      </c>
      <c r="H12" s="81"/>
      <c r="I12" s="82"/>
      <c r="J12" s="82"/>
      <c r="K12" s="82"/>
    </row>
    <row r="13" spans="1:11" ht="18.75">
      <c r="A13" s="88" t="s">
        <v>115</v>
      </c>
      <c r="B13" s="83"/>
      <c r="C13" s="89" t="s">
        <v>116</v>
      </c>
      <c r="D13" s="78"/>
      <c r="E13" s="86">
        <v>246.8</v>
      </c>
      <c r="F13" s="91">
        <v>3.115</v>
      </c>
      <c r="G13" s="92">
        <f>F13*E13</f>
        <v>768.782</v>
      </c>
      <c r="H13" s="81"/>
      <c r="I13" s="82"/>
      <c r="J13" s="82"/>
      <c r="K13" s="82"/>
    </row>
    <row r="14" spans="1:11" ht="18.75">
      <c r="A14" s="88" t="s">
        <v>117</v>
      </c>
      <c r="B14" s="83"/>
      <c r="C14" s="89" t="s">
        <v>118</v>
      </c>
      <c r="D14" s="93"/>
      <c r="E14" s="86">
        <v>246.8</v>
      </c>
      <c r="F14" s="91">
        <v>4.702</v>
      </c>
      <c r="G14" s="92">
        <f>F14*E14</f>
        <v>1160.4536</v>
      </c>
      <c r="H14" s="81"/>
      <c r="I14" s="82"/>
      <c r="J14" s="82"/>
      <c r="K14" s="82"/>
    </row>
    <row r="15" spans="1:11" ht="18.75">
      <c r="A15" s="88" t="s">
        <v>119</v>
      </c>
      <c r="B15" s="83"/>
      <c r="C15" s="89" t="s">
        <v>120</v>
      </c>
      <c r="D15" s="78"/>
      <c r="E15" s="86">
        <v>246.8</v>
      </c>
      <c r="F15" s="91">
        <v>5.01</v>
      </c>
      <c r="G15" s="92">
        <f>F15*E15</f>
        <v>1236.468</v>
      </c>
      <c r="H15" s="81"/>
      <c r="I15" s="82"/>
      <c r="J15" s="82"/>
      <c r="K15" s="82"/>
    </row>
    <row r="16" spans="1:11" ht="18.75">
      <c r="A16" s="88" t="s">
        <v>121</v>
      </c>
      <c r="B16" s="83"/>
      <c r="C16" s="89" t="s">
        <v>122</v>
      </c>
      <c r="D16" s="93"/>
      <c r="E16" s="86">
        <v>246.8</v>
      </c>
      <c r="F16" s="91">
        <v>4.5</v>
      </c>
      <c r="G16" s="92">
        <f>F16*E16</f>
        <v>1110.6000000000001</v>
      </c>
      <c r="H16" s="81"/>
      <c r="I16" s="82"/>
      <c r="J16" s="82"/>
      <c r="K16" s="82"/>
    </row>
    <row r="17" spans="1:11" ht="18.75">
      <c r="A17" s="88" t="s">
        <v>123</v>
      </c>
      <c r="B17" s="83"/>
      <c r="C17" s="89" t="s">
        <v>124</v>
      </c>
      <c r="D17" s="94"/>
      <c r="E17" s="86">
        <v>246.8</v>
      </c>
      <c r="F17" s="91">
        <v>1.9500000000000002</v>
      </c>
      <c r="G17" s="92">
        <f>F17*E17</f>
        <v>481.26000000000005</v>
      </c>
      <c r="H17" s="81"/>
      <c r="I17" s="82"/>
      <c r="J17" s="82"/>
      <c r="K17" s="82"/>
    </row>
    <row r="18" spans="1:11" ht="18.75">
      <c r="A18" s="88" t="s">
        <v>125</v>
      </c>
      <c r="B18" s="83"/>
      <c r="C18" s="89" t="s">
        <v>126</v>
      </c>
      <c r="D18" s="93"/>
      <c r="E18" s="86">
        <v>246.8</v>
      </c>
      <c r="F18" s="91">
        <v>5.8</v>
      </c>
      <c r="G18" s="92">
        <f>F18*E18</f>
        <v>1431.44</v>
      </c>
      <c r="H18" s="81"/>
      <c r="I18" s="82"/>
      <c r="J18" s="82"/>
      <c r="K18" s="82"/>
    </row>
    <row r="19" spans="1:12" ht="18.75">
      <c r="A19" s="88" t="s">
        <v>127</v>
      </c>
      <c r="B19" s="83"/>
      <c r="C19" s="89" t="s">
        <v>128</v>
      </c>
      <c r="D19" s="93"/>
      <c r="E19" s="86">
        <v>246.8</v>
      </c>
      <c r="F19" s="91">
        <v>1.75</v>
      </c>
      <c r="G19" s="92">
        <f>F19*E19</f>
        <v>431.90000000000003</v>
      </c>
      <c r="H19" s="81"/>
      <c r="I19" s="82"/>
      <c r="J19" s="82"/>
      <c r="K19" s="82"/>
      <c r="L19" s="75"/>
    </row>
    <row r="20" spans="1:11" ht="18.75">
      <c r="A20" s="88" t="s">
        <v>129</v>
      </c>
      <c r="B20" s="83"/>
      <c r="C20" s="89" t="s">
        <v>130</v>
      </c>
      <c r="D20" s="93"/>
      <c r="E20" s="86">
        <v>246.8</v>
      </c>
      <c r="F20" s="91">
        <v>2.8</v>
      </c>
      <c r="G20" s="92">
        <f>F20*E20</f>
        <v>691.04</v>
      </c>
      <c r="H20" s="81"/>
      <c r="I20" s="82"/>
      <c r="J20" s="82"/>
      <c r="K20" s="82"/>
    </row>
    <row r="21" spans="1:11" ht="18.75">
      <c r="A21" s="76"/>
      <c r="B21" s="83"/>
      <c r="C21" s="95" t="s">
        <v>131</v>
      </c>
      <c r="D21" s="93"/>
      <c r="E21" s="96"/>
      <c r="F21" s="91"/>
      <c r="G21" s="92"/>
      <c r="H21" s="81"/>
      <c r="I21" s="82"/>
      <c r="J21" s="82"/>
      <c r="K21" s="82"/>
    </row>
    <row r="22" spans="1:11" ht="18.75">
      <c r="A22" s="76" t="s">
        <v>132</v>
      </c>
      <c r="B22" s="83"/>
      <c r="C22" s="89" t="s">
        <v>133</v>
      </c>
      <c r="D22" s="94"/>
      <c r="E22" s="86">
        <v>246.8</v>
      </c>
      <c r="F22" s="91">
        <v>1.6</v>
      </c>
      <c r="G22" s="92">
        <f>F22*E22</f>
        <v>394.88000000000005</v>
      </c>
      <c r="H22" s="81"/>
      <c r="I22" s="82"/>
      <c r="J22" s="82"/>
      <c r="K22" s="82"/>
    </row>
    <row r="23" spans="1:11" ht="18.75">
      <c r="A23" s="76"/>
      <c r="B23" s="83"/>
      <c r="C23" s="97" t="s">
        <v>134</v>
      </c>
      <c r="D23" s="93"/>
      <c r="E23" s="96"/>
      <c r="F23" s="91"/>
      <c r="G23" s="92"/>
      <c r="H23" s="81"/>
      <c r="I23" s="82"/>
      <c r="J23" s="82"/>
      <c r="K23" s="82"/>
    </row>
    <row r="24" spans="1:11" ht="18.75">
      <c r="A24" s="76" t="s">
        <v>135</v>
      </c>
      <c r="B24" s="83"/>
      <c r="C24" s="89" t="s">
        <v>136</v>
      </c>
      <c r="D24" s="93"/>
      <c r="E24" s="86">
        <v>246.8</v>
      </c>
      <c r="F24" s="91">
        <v>1.6</v>
      </c>
      <c r="G24" s="92">
        <f>F24*E24</f>
        <v>394.88000000000005</v>
      </c>
      <c r="H24" s="81"/>
      <c r="I24" s="82"/>
      <c r="J24" s="82"/>
      <c r="K24" s="82"/>
    </row>
    <row r="25" spans="1:11" ht="18.75">
      <c r="A25" s="76"/>
      <c r="B25" s="83"/>
      <c r="C25" s="89"/>
      <c r="D25" s="93"/>
      <c r="E25" s="86"/>
      <c r="F25" s="91"/>
      <c r="G25" s="92"/>
      <c r="H25" s="81"/>
      <c r="I25" s="82"/>
      <c r="J25" s="82"/>
      <c r="K25" s="82"/>
    </row>
    <row r="26" spans="1:11" ht="18.75">
      <c r="A26" s="76" t="s">
        <v>137</v>
      </c>
      <c r="B26" s="83"/>
      <c r="C26" s="98" t="s">
        <v>138</v>
      </c>
      <c r="D26" s="99"/>
      <c r="E26" s="79">
        <f>G26/F26</f>
        <v>910.1676384839651</v>
      </c>
      <c r="F26" s="79">
        <f>SUM(F27:F43)</f>
        <v>6.859999999999999</v>
      </c>
      <c r="G26" s="80">
        <f>SUM(G27:G43)</f>
        <v>6243.75</v>
      </c>
      <c r="H26" s="81"/>
      <c r="I26" s="82"/>
      <c r="J26" s="82"/>
      <c r="K26" s="82"/>
    </row>
    <row r="27" spans="1:11" ht="18.75">
      <c r="A27" s="76"/>
      <c r="B27" s="77"/>
      <c r="C27" s="100" t="s">
        <v>112</v>
      </c>
      <c r="D27" s="101"/>
      <c r="E27" s="96"/>
      <c r="F27" s="102"/>
      <c r="G27" s="87"/>
      <c r="H27" s="81"/>
      <c r="I27" s="82"/>
      <c r="J27" s="82"/>
      <c r="K27" s="82"/>
    </row>
    <row r="28" spans="1:11" ht="18.75">
      <c r="A28" s="76" t="s">
        <v>139</v>
      </c>
      <c r="B28" s="77"/>
      <c r="C28" s="89" t="s">
        <v>140</v>
      </c>
      <c r="D28" s="103"/>
      <c r="E28" s="96">
        <v>675</v>
      </c>
      <c r="F28" s="104">
        <v>0.5</v>
      </c>
      <c r="G28" s="92">
        <f>F28*E28</f>
        <v>337.5</v>
      </c>
      <c r="H28" s="81"/>
      <c r="I28" s="82"/>
      <c r="J28" s="82"/>
      <c r="K28" s="82"/>
    </row>
    <row r="29" spans="1:11" ht="18.75">
      <c r="A29" s="76" t="s">
        <v>141</v>
      </c>
      <c r="B29" s="77"/>
      <c r="C29" s="89" t="s">
        <v>142</v>
      </c>
      <c r="D29" s="103"/>
      <c r="E29" s="96">
        <v>675</v>
      </c>
      <c r="F29" s="104">
        <v>0.61</v>
      </c>
      <c r="G29" s="92">
        <f>F29*E29</f>
        <v>411.75</v>
      </c>
      <c r="H29" s="81"/>
      <c r="I29" s="82"/>
      <c r="J29" s="82"/>
      <c r="K29" s="82"/>
    </row>
    <row r="30" spans="1:11" ht="18.75">
      <c r="A30" s="76" t="s">
        <v>143</v>
      </c>
      <c r="B30" s="77"/>
      <c r="C30" s="89" t="s">
        <v>144</v>
      </c>
      <c r="D30" s="103"/>
      <c r="E30" s="96">
        <v>675</v>
      </c>
      <c r="F30" s="104">
        <v>1.17</v>
      </c>
      <c r="G30" s="92">
        <f>F30*E30*2.5</f>
        <v>1974.375</v>
      </c>
      <c r="H30" s="81"/>
      <c r="I30" s="82"/>
      <c r="J30" s="82"/>
      <c r="K30" s="82"/>
    </row>
    <row r="31" spans="1:11" ht="18.75">
      <c r="A31" s="76" t="s">
        <v>145</v>
      </c>
      <c r="B31" s="77"/>
      <c r="C31" s="89" t="s">
        <v>146</v>
      </c>
      <c r="D31" s="103"/>
      <c r="E31" s="96">
        <v>675</v>
      </c>
      <c r="F31" s="104">
        <v>0.67</v>
      </c>
      <c r="G31" s="92">
        <f>F31*E31*1.5</f>
        <v>678.375</v>
      </c>
      <c r="H31" s="81"/>
      <c r="I31" s="82"/>
      <c r="J31" s="82"/>
      <c r="K31" s="82"/>
    </row>
    <row r="32" spans="1:11" ht="18.75">
      <c r="A32" s="76" t="s">
        <v>147</v>
      </c>
      <c r="B32" s="77"/>
      <c r="C32" s="89" t="s">
        <v>148</v>
      </c>
      <c r="D32" s="103"/>
      <c r="E32" s="96">
        <v>675</v>
      </c>
      <c r="F32" s="104">
        <v>0.12</v>
      </c>
      <c r="G32" s="92">
        <f>F32*E32</f>
        <v>81</v>
      </c>
      <c r="H32" s="81"/>
      <c r="I32" s="82"/>
      <c r="J32" s="82"/>
      <c r="K32" s="82"/>
    </row>
    <row r="33" spans="1:11" ht="18.75">
      <c r="A33" s="76" t="s">
        <v>149</v>
      </c>
      <c r="B33" s="77"/>
      <c r="C33" s="89" t="s">
        <v>150</v>
      </c>
      <c r="D33" s="103"/>
      <c r="E33" s="96">
        <v>675</v>
      </c>
      <c r="F33" s="104">
        <v>0.52</v>
      </c>
      <c r="G33" s="92">
        <f>F33*E33</f>
        <v>351</v>
      </c>
      <c r="H33" s="81"/>
      <c r="I33" s="82"/>
      <c r="J33" s="82"/>
      <c r="K33" s="82"/>
    </row>
    <row r="34" spans="1:11" ht="18.75">
      <c r="A34" s="76" t="s">
        <v>151</v>
      </c>
      <c r="B34" s="77"/>
      <c r="C34" s="89" t="s">
        <v>152</v>
      </c>
      <c r="D34" s="103"/>
      <c r="E34" s="96">
        <v>675</v>
      </c>
      <c r="F34" s="104">
        <v>0.36</v>
      </c>
      <c r="G34" s="92">
        <f>F34*E34</f>
        <v>243</v>
      </c>
      <c r="H34" s="81"/>
      <c r="I34" s="82"/>
      <c r="J34" s="82"/>
      <c r="K34" s="82"/>
    </row>
    <row r="35" spans="1:11" ht="18.75">
      <c r="A35" s="76" t="s">
        <v>153</v>
      </c>
      <c r="B35" s="77"/>
      <c r="C35" s="89" t="s">
        <v>154</v>
      </c>
      <c r="D35" s="103"/>
      <c r="E35" s="96">
        <v>675</v>
      </c>
      <c r="F35" s="104">
        <v>0.42</v>
      </c>
      <c r="G35" s="92">
        <f>F35*E35</f>
        <v>283.5</v>
      </c>
      <c r="H35" s="81"/>
      <c r="I35" s="82"/>
      <c r="J35" s="82"/>
      <c r="K35" s="82"/>
    </row>
    <row r="36" spans="1:11" ht="18.75">
      <c r="A36" s="76" t="s">
        <v>155</v>
      </c>
      <c r="B36" s="77"/>
      <c r="C36" s="89" t="s">
        <v>156</v>
      </c>
      <c r="D36" s="103"/>
      <c r="E36" s="96">
        <v>675</v>
      </c>
      <c r="F36" s="104">
        <v>0.6000000000000001</v>
      </c>
      <c r="G36" s="92">
        <f>F36*E36*1.5</f>
        <v>607.5000000000001</v>
      </c>
      <c r="H36" s="81"/>
      <c r="I36" s="82"/>
      <c r="J36" s="82"/>
      <c r="K36" s="82"/>
    </row>
    <row r="37" spans="1:11" ht="18.75">
      <c r="A37" s="76" t="s">
        <v>157</v>
      </c>
      <c r="B37" s="77"/>
      <c r="C37" s="89" t="s">
        <v>158</v>
      </c>
      <c r="D37" s="103"/>
      <c r="E37" s="96">
        <v>675</v>
      </c>
      <c r="F37" s="104">
        <v>0.14</v>
      </c>
      <c r="G37" s="92">
        <f>F37*E37</f>
        <v>94.50000000000001</v>
      </c>
      <c r="H37" s="81"/>
      <c r="I37" s="82"/>
      <c r="J37" s="82"/>
      <c r="K37" s="82"/>
    </row>
    <row r="38" spans="1:11" ht="18.75">
      <c r="A38" s="76" t="s">
        <v>159</v>
      </c>
      <c r="B38" s="77"/>
      <c r="C38" s="89" t="s">
        <v>160</v>
      </c>
      <c r="D38" s="103"/>
      <c r="E38" s="96">
        <v>675</v>
      </c>
      <c r="F38" s="104">
        <v>0.47</v>
      </c>
      <c r="G38" s="92">
        <f>F38*E38</f>
        <v>317.25</v>
      </c>
      <c r="H38" s="81"/>
      <c r="I38" s="82"/>
      <c r="J38" s="82"/>
      <c r="K38" s="82"/>
    </row>
    <row r="39" spans="1:11" ht="18.75">
      <c r="A39" s="76" t="s">
        <v>161</v>
      </c>
      <c r="B39" s="77"/>
      <c r="C39" s="89" t="s">
        <v>162</v>
      </c>
      <c r="D39" s="105"/>
      <c r="E39" s="96">
        <v>675</v>
      </c>
      <c r="F39" s="104">
        <v>0.58</v>
      </c>
      <c r="G39" s="92">
        <f>F39*E39</f>
        <v>391.5</v>
      </c>
      <c r="H39" s="81"/>
      <c r="I39" s="82"/>
      <c r="J39" s="82"/>
      <c r="K39" s="82"/>
    </row>
    <row r="40" spans="1:12" ht="18.75">
      <c r="A40" s="76"/>
      <c r="B40" s="83"/>
      <c r="C40" s="100" t="s">
        <v>163</v>
      </c>
      <c r="D40" s="101"/>
      <c r="E40" s="96"/>
      <c r="F40" s="104"/>
      <c r="G40" s="87"/>
      <c r="H40" s="81"/>
      <c r="I40" s="82"/>
      <c r="J40" s="82"/>
      <c r="K40" s="82"/>
      <c r="L40" s="75"/>
    </row>
    <row r="41" spans="1:11" ht="18.75">
      <c r="A41" s="76" t="s">
        <v>164</v>
      </c>
      <c r="B41" s="83"/>
      <c r="C41" s="89" t="s">
        <v>165</v>
      </c>
      <c r="D41" s="106"/>
      <c r="E41" s="96">
        <v>675</v>
      </c>
      <c r="F41" s="104">
        <v>0.4</v>
      </c>
      <c r="G41" s="92">
        <f>F41*E41</f>
        <v>270</v>
      </c>
      <c r="H41" s="81"/>
      <c r="I41" s="82"/>
      <c r="J41" s="82"/>
      <c r="K41" s="82"/>
    </row>
    <row r="42" spans="1:11" ht="18.75">
      <c r="A42" s="76"/>
      <c r="B42" s="83"/>
      <c r="C42" s="100" t="s">
        <v>166</v>
      </c>
      <c r="D42" s="101"/>
      <c r="E42" s="96"/>
      <c r="F42" s="104"/>
      <c r="G42" s="87"/>
      <c r="H42" s="81"/>
      <c r="I42" s="82"/>
      <c r="J42" s="82"/>
      <c r="K42" s="82"/>
    </row>
    <row r="43" spans="1:11" ht="18.75">
      <c r="A43" s="76" t="s">
        <v>167</v>
      </c>
      <c r="B43" s="83"/>
      <c r="C43" s="89" t="s">
        <v>168</v>
      </c>
      <c r="D43" s="106"/>
      <c r="E43" s="96">
        <v>675</v>
      </c>
      <c r="F43" s="104">
        <v>0.30000000000000004</v>
      </c>
      <c r="G43" s="92">
        <f>F43*E43</f>
        <v>202.50000000000003</v>
      </c>
      <c r="H43" s="81"/>
      <c r="I43" s="82"/>
      <c r="J43" s="82"/>
      <c r="K43" s="82"/>
    </row>
    <row r="44" spans="1:11" ht="18.75">
      <c r="A44" s="76"/>
      <c r="B44" s="83"/>
      <c r="C44" s="89"/>
      <c r="D44" s="106"/>
      <c r="E44" s="96"/>
      <c r="F44" s="104"/>
      <c r="G44" s="92"/>
      <c r="H44" s="81"/>
      <c r="I44" s="82"/>
      <c r="J44" s="82"/>
      <c r="K44" s="82"/>
    </row>
    <row r="45" spans="1:11" ht="18.75">
      <c r="A45" s="76">
        <v>5</v>
      </c>
      <c r="B45" s="107"/>
      <c r="C45" s="108" t="s">
        <v>169</v>
      </c>
      <c r="D45" s="109"/>
      <c r="E45" s="110">
        <f>G45/F45</f>
        <v>792.857142857143</v>
      </c>
      <c r="F45" s="110">
        <f>SUM(F46:F55)</f>
        <v>1.925</v>
      </c>
      <c r="G45" s="80">
        <f>SUM(G46:G55)</f>
        <v>1526.2500000000002</v>
      </c>
      <c r="H45" s="81"/>
      <c r="I45" s="82"/>
      <c r="J45" s="82"/>
      <c r="K45" s="82"/>
    </row>
    <row r="46" spans="1:11" ht="18.75">
      <c r="A46" s="76"/>
      <c r="B46" s="111"/>
      <c r="C46" s="100" t="s">
        <v>112</v>
      </c>
      <c r="D46" s="101"/>
      <c r="E46" s="96"/>
      <c r="F46" s="112"/>
      <c r="G46" s="87"/>
      <c r="H46" s="81"/>
      <c r="I46" s="82"/>
      <c r="J46" s="82"/>
      <c r="K46" s="82"/>
    </row>
    <row r="47" spans="1:11" ht="18.75">
      <c r="A47" s="76" t="s">
        <v>170</v>
      </c>
      <c r="B47" s="111"/>
      <c r="C47" s="89" t="s">
        <v>171</v>
      </c>
      <c r="D47" s="101"/>
      <c r="E47" s="96">
        <v>660</v>
      </c>
      <c r="F47" s="104">
        <v>0.30000000000000004</v>
      </c>
      <c r="G47" s="92">
        <f>F47*E47</f>
        <v>198.00000000000003</v>
      </c>
      <c r="H47" s="81"/>
      <c r="I47" s="82"/>
      <c r="J47" s="82"/>
      <c r="K47" s="82"/>
    </row>
    <row r="48" spans="1:11" ht="18.75">
      <c r="A48" s="76" t="s">
        <v>172</v>
      </c>
      <c r="B48" s="111"/>
      <c r="C48" s="89" t="s">
        <v>173</v>
      </c>
      <c r="D48" s="101"/>
      <c r="E48" s="96">
        <v>660</v>
      </c>
      <c r="F48" s="104">
        <v>0.4</v>
      </c>
      <c r="G48" s="92">
        <f>F48*E48</f>
        <v>264</v>
      </c>
      <c r="H48" s="81"/>
      <c r="I48" s="82"/>
      <c r="J48" s="82"/>
      <c r="K48" s="82"/>
    </row>
    <row r="49" spans="1:11" ht="18.75">
      <c r="A49" s="76" t="s">
        <v>174</v>
      </c>
      <c r="B49" s="111"/>
      <c r="C49" s="89" t="s">
        <v>175</v>
      </c>
      <c r="D49" s="101"/>
      <c r="E49" s="96">
        <v>660</v>
      </c>
      <c r="F49" s="104">
        <v>0.23500000000000001</v>
      </c>
      <c r="G49" s="92">
        <f>F49*E49*1.5</f>
        <v>232.65000000000003</v>
      </c>
      <c r="H49" s="81"/>
      <c r="I49" s="82"/>
      <c r="J49" s="82"/>
      <c r="K49" s="82"/>
    </row>
    <row r="50" spans="1:12" ht="18.75">
      <c r="A50" s="76" t="s">
        <v>176</v>
      </c>
      <c r="B50" s="111"/>
      <c r="C50" s="89" t="s">
        <v>177</v>
      </c>
      <c r="D50" s="101"/>
      <c r="E50" s="96">
        <v>660</v>
      </c>
      <c r="F50" s="104">
        <v>0.17</v>
      </c>
      <c r="G50" s="92">
        <f>F50*E50*1.5</f>
        <v>168.3</v>
      </c>
      <c r="H50" s="81"/>
      <c r="I50" s="82"/>
      <c r="J50" s="82"/>
      <c r="K50" s="82"/>
      <c r="L50" s="75"/>
    </row>
    <row r="51" spans="1:11" ht="18.75">
      <c r="A51" s="76" t="s">
        <v>178</v>
      </c>
      <c r="B51" s="111"/>
      <c r="C51" s="89" t="s">
        <v>179</v>
      </c>
      <c r="D51" s="101"/>
      <c r="E51" s="96">
        <v>660</v>
      </c>
      <c r="F51" s="104">
        <v>0.24</v>
      </c>
      <c r="G51" s="92">
        <f>F51*E51*1.5</f>
        <v>237.60000000000002</v>
      </c>
      <c r="H51" s="81"/>
      <c r="I51" s="82"/>
      <c r="J51" s="82"/>
      <c r="K51" s="82"/>
    </row>
    <row r="52" spans="1:11" ht="37.5">
      <c r="A52" s="76" t="s">
        <v>180</v>
      </c>
      <c r="B52" s="111"/>
      <c r="C52" s="89" t="s">
        <v>181</v>
      </c>
      <c r="D52" s="101"/>
      <c r="E52" s="96">
        <v>660</v>
      </c>
      <c r="F52" s="104">
        <v>0.11</v>
      </c>
      <c r="G52" s="92">
        <f>F52*E52</f>
        <v>72.6</v>
      </c>
      <c r="H52" s="81"/>
      <c r="I52" s="82"/>
      <c r="J52" s="82"/>
      <c r="K52" s="82"/>
    </row>
    <row r="53" spans="1:12" ht="18.75">
      <c r="A53" s="76" t="s">
        <v>182</v>
      </c>
      <c r="B53" s="111"/>
      <c r="C53" s="89" t="s">
        <v>183</v>
      </c>
      <c r="D53" s="101"/>
      <c r="E53" s="96">
        <v>660</v>
      </c>
      <c r="F53" s="104">
        <v>0.13</v>
      </c>
      <c r="G53" s="92">
        <f>F53*E53*1.5</f>
        <v>128.7</v>
      </c>
      <c r="H53" s="81"/>
      <c r="I53" s="82"/>
      <c r="J53" s="82"/>
      <c r="K53" s="82"/>
      <c r="L53" s="75"/>
    </row>
    <row r="54" spans="1:11" ht="18.75">
      <c r="A54" s="76" t="s">
        <v>184</v>
      </c>
      <c r="B54" s="111"/>
      <c r="C54" s="89" t="s">
        <v>185</v>
      </c>
      <c r="D54" s="101"/>
      <c r="E54" s="96">
        <v>660</v>
      </c>
      <c r="F54" s="104">
        <v>0.22</v>
      </c>
      <c r="G54" s="92">
        <f>F54*E54</f>
        <v>145.2</v>
      </c>
      <c r="H54" s="81"/>
      <c r="I54" s="82"/>
      <c r="J54" s="82"/>
      <c r="K54" s="82"/>
    </row>
    <row r="55" spans="1:11" ht="18.75">
      <c r="A55" s="76" t="s">
        <v>186</v>
      </c>
      <c r="B55" s="107"/>
      <c r="C55" s="89" t="s">
        <v>187</v>
      </c>
      <c r="D55" s="106"/>
      <c r="E55" s="96">
        <v>660</v>
      </c>
      <c r="F55" s="104">
        <v>0.12</v>
      </c>
      <c r="G55" s="92">
        <f>F55*E55</f>
        <v>79.2</v>
      </c>
      <c r="H55" s="81"/>
      <c r="I55" s="82"/>
      <c r="J55" s="82"/>
      <c r="K55" s="82"/>
    </row>
    <row r="56" spans="1:11" ht="18.75">
      <c r="A56" s="76"/>
      <c r="B56" s="107"/>
      <c r="C56" s="105"/>
      <c r="D56" s="103"/>
      <c r="E56" s="96"/>
      <c r="F56" s="113"/>
      <c r="G56" s="87"/>
      <c r="H56" s="81"/>
      <c r="I56" s="82"/>
      <c r="J56" s="82"/>
      <c r="K56" s="82"/>
    </row>
    <row r="57" spans="1:11" ht="75">
      <c r="A57" s="76">
        <v>6</v>
      </c>
      <c r="B57" s="83"/>
      <c r="C57" s="114" t="s">
        <v>188</v>
      </c>
      <c r="D57" s="93"/>
      <c r="E57" s="96">
        <v>0.426</v>
      </c>
      <c r="F57" s="115">
        <v>3800</v>
      </c>
      <c r="G57" s="87">
        <f>F57*E57</f>
        <v>1618.8</v>
      </c>
      <c r="H57" s="81"/>
      <c r="I57" s="82"/>
      <c r="J57" s="82"/>
      <c r="K57" s="82"/>
    </row>
    <row r="58" spans="1:11" ht="75">
      <c r="A58" s="76">
        <v>7</v>
      </c>
      <c r="B58" s="83"/>
      <c r="C58" s="114" t="s">
        <v>189</v>
      </c>
      <c r="D58" s="93"/>
      <c r="E58" s="96">
        <v>0.9460000000000001</v>
      </c>
      <c r="F58" s="115">
        <v>400</v>
      </c>
      <c r="G58" s="87">
        <v>378.32</v>
      </c>
      <c r="H58" s="81"/>
      <c r="I58" s="82"/>
      <c r="J58" s="82"/>
      <c r="K58" s="82"/>
    </row>
    <row r="59" spans="1:11" ht="18.75">
      <c r="A59" s="76"/>
      <c r="B59" s="83"/>
      <c r="C59" s="114"/>
      <c r="D59" s="93"/>
      <c r="E59" s="96"/>
      <c r="F59" s="96"/>
      <c r="G59" s="87"/>
      <c r="H59" s="81"/>
      <c r="I59" s="82"/>
      <c r="J59" s="82"/>
      <c r="K59" s="82"/>
    </row>
    <row r="60" spans="1:11" ht="18.75">
      <c r="A60" s="76">
        <v>8</v>
      </c>
      <c r="B60" s="83"/>
      <c r="C60" s="72" t="s">
        <v>190</v>
      </c>
      <c r="D60" s="78"/>
      <c r="E60" s="79">
        <f>G60/F60</f>
        <v>250</v>
      </c>
      <c r="F60" s="79">
        <f>SUM(F61:F67)</f>
        <v>6</v>
      </c>
      <c r="G60" s="80">
        <f>SUM(G61:G67)</f>
        <v>1500</v>
      </c>
      <c r="H60" s="81"/>
      <c r="I60" s="82"/>
      <c r="J60" s="82"/>
      <c r="K60" s="82"/>
    </row>
    <row r="61" spans="1:11" ht="18.75">
      <c r="A61" s="76"/>
      <c r="B61" s="83"/>
      <c r="C61" s="72" t="s">
        <v>112</v>
      </c>
      <c r="D61" s="78"/>
      <c r="E61" s="96"/>
      <c r="F61" s="86"/>
      <c r="G61" s="87"/>
      <c r="H61" s="81"/>
      <c r="I61" s="82"/>
      <c r="J61" s="82"/>
      <c r="K61" s="82"/>
    </row>
    <row r="62" spans="1:11" ht="37.5">
      <c r="A62" s="76" t="s">
        <v>191</v>
      </c>
      <c r="B62" s="83"/>
      <c r="C62" s="89" t="s">
        <v>192</v>
      </c>
      <c r="D62" s="90"/>
      <c r="E62" s="96">
        <v>250</v>
      </c>
      <c r="F62" s="86">
        <v>1</v>
      </c>
      <c r="G62" s="87">
        <f>F62*E62</f>
        <v>250</v>
      </c>
      <c r="H62" s="81"/>
      <c r="I62" s="82"/>
      <c r="J62" s="82"/>
      <c r="K62" s="82"/>
    </row>
    <row r="63" spans="1:11" ht="37.5">
      <c r="A63" s="76" t="s">
        <v>193</v>
      </c>
      <c r="B63" s="83"/>
      <c r="C63" s="89" t="s">
        <v>194</v>
      </c>
      <c r="D63" s="90"/>
      <c r="E63" s="96">
        <v>250</v>
      </c>
      <c r="F63" s="86">
        <v>1</v>
      </c>
      <c r="G63" s="87">
        <f>F63*E63</f>
        <v>250</v>
      </c>
      <c r="H63" s="81"/>
      <c r="I63" s="82"/>
      <c r="J63" s="82"/>
      <c r="K63" s="82"/>
    </row>
    <row r="64" spans="1:11" ht="18.75">
      <c r="A64" s="76" t="s">
        <v>195</v>
      </c>
      <c r="B64" s="83"/>
      <c r="C64" s="89" t="s">
        <v>196</v>
      </c>
      <c r="D64" s="78"/>
      <c r="E64" s="96">
        <v>250</v>
      </c>
      <c r="F64" s="86">
        <v>1</v>
      </c>
      <c r="G64" s="87">
        <f>F64*E64</f>
        <v>250</v>
      </c>
      <c r="H64" s="81"/>
      <c r="I64" s="82"/>
      <c r="J64" s="82"/>
      <c r="K64" s="82"/>
    </row>
    <row r="65" spans="1:11" ht="18.75">
      <c r="A65" s="76" t="s">
        <v>197</v>
      </c>
      <c r="B65" s="83"/>
      <c r="C65" s="89" t="s">
        <v>198</v>
      </c>
      <c r="D65" s="90"/>
      <c r="E65" s="96">
        <v>250</v>
      </c>
      <c r="F65" s="86">
        <v>1</v>
      </c>
      <c r="G65" s="87">
        <f>F65*E65</f>
        <v>250</v>
      </c>
      <c r="H65" s="81"/>
      <c r="I65" s="82"/>
      <c r="J65" s="82"/>
      <c r="K65" s="82"/>
    </row>
    <row r="66" spans="1:11" ht="37.5">
      <c r="A66" s="76" t="s">
        <v>199</v>
      </c>
      <c r="B66" s="83"/>
      <c r="C66" s="116" t="s">
        <v>200</v>
      </c>
      <c r="D66" s="78"/>
      <c r="E66" s="96">
        <v>250</v>
      </c>
      <c r="F66" s="86">
        <v>1</v>
      </c>
      <c r="G66" s="87">
        <f>F66*E66</f>
        <v>250</v>
      </c>
      <c r="H66" s="81"/>
      <c r="I66" s="82"/>
      <c r="J66" s="82"/>
      <c r="K66" s="82"/>
    </row>
    <row r="67" spans="1:11" ht="37.5">
      <c r="A67" s="76" t="s">
        <v>201</v>
      </c>
      <c r="B67" s="83"/>
      <c r="C67" s="89" t="s">
        <v>202</v>
      </c>
      <c r="D67" s="90"/>
      <c r="E67" s="96">
        <v>250</v>
      </c>
      <c r="F67" s="86">
        <v>1</v>
      </c>
      <c r="G67" s="87">
        <f>F67*E67</f>
        <v>250</v>
      </c>
      <c r="H67" s="81"/>
      <c r="I67" s="82"/>
      <c r="J67" s="82"/>
      <c r="K67" s="82"/>
    </row>
    <row r="68" spans="1:11" ht="18.75">
      <c r="A68" s="76"/>
      <c r="B68" s="83"/>
      <c r="C68" s="117"/>
      <c r="D68" s="90"/>
      <c r="E68" s="96"/>
      <c r="F68" s="86"/>
      <c r="G68" s="87"/>
      <c r="H68" s="81"/>
      <c r="I68" s="82"/>
      <c r="J68" s="82"/>
      <c r="K68" s="82"/>
    </row>
    <row r="69" spans="1:11" ht="18.75">
      <c r="A69" s="76">
        <v>9</v>
      </c>
      <c r="B69" s="83"/>
      <c r="C69" s="117" t="s">
        <v>203</v>
      </c>
      <c r="D69" s="90"/>
      <c r="E69" s="96">
        <v>2000</v>
      </c>
      <c r="F69" s="86">
        <v>1</v>
      </c>
      <c r="G69" s="80">
        <v>2000</v>
      </c>
      <c r="H69" s="81"/>
      <c r="I69" s="82"/>
      <c r="J69" s="82"/>
      <c r="K69" s="82"/>
    </row>
    <row r="70" spans="1:11" ht="18.75">
      <c r="A70" s="76"/>
      <c r="B70" s="118"/>
      <c r="C70" s="72"/>
      <c r="D70" s="78"/>
      <c r="E70" s="96"/>
      <c r="F70" s="79"/>
      <c r="G70" s="87"/>
      <c r="H70" s="81"/>
      <c r="I70" s="82"/>
      <c r="J70" s="82"/>
      <c r="K70" s="82"/>
    </row>
    <row r="71" spans="1:11" ht="56.25">
      <c r="A71" s="76">
        <v>10</v>
      </c>
      <c r="B71" s="83"/>
      <c r="C71" s="119" t="s">
        <v>204</v>
      </c>
      <c r="D71" s="90"/>
      <c r="E71" s="96">
        <v>67.7</v>
      </c>
      <c r="F71" s="86">
        <v>50</v>
      </c>
      <c r="G71" s="80">
        <f>F71*E71</f>
        <v>3385</v>
      </c>
      <c r="H71" s="81"/>
      <c r="I71" s="82"/>
      <c r="J71" s="82"/>
      <c r="K71" s="82"/>
    </row>
    <row r="72" spans="1:11" ht="18.75">
      <c r="A72" s="76"/>
      <c r="B72" s="83"/>
      <c r="C72" s="117"/>
      <c r="D72" s="90"/>
      <c r="E72" s="96"/>
      <c r="F72" s="86"/>
      <c r="G72" s="87"/>
      <c r="H72" s="81"/>
      <c r="I72" s="82"/>
      <c r="J72" s="82"/>
      <c r="K72" s="82"/>
    </row>
    <row r="73" spans="1:11" ht="18.75">
      <c r="A73" s="76">
        <v>11</v>
      </c>
      <c r="B73" s="83"/>
      <c r="C73" s="120" t="s">
        <v>205</v>
      </c>
      <c r="D73" s="78"/>
      <c r="E73" s="121">
        <v>180</v>
      </c>
      <c r="F73" s="122">
        <v>1</v>
      </c>
      <c r="G73" s="122">
        <f>F73*E73</f>
        <v>180</v>
      </c>
      <c r="H73" s="81"/>
      <c r="I73" s="82"/>
      <c r="J73" s="82"/>
      <c r="K73" s="82"/>
    </row>
    <row r="74" spans="1:11" ht="18.75">
      <c r="A74" s="76">
        <v>12</v>
      </c>
      <c r="B74" s="83"/>
      <c r="C74" s="120" t="s">
        <v>206</v>
      </c>
      <c r="D74" s="90"/>
      <c r="E74" s="121">
        <v>180</v>
      </c>
      <c r="F74" s="122">
        <v>1</v>
      </c>
      <c r="G74" s="122">
        <f>F74*E74</f>
        <v>180</v>
      </c>
      <c r="H74" s="81"/>
      <c r="I74" s="82"/>
      <c r="J74" s="82"/>
      <c r="K74" s="82"/>
    </row>
    <row r="75" spans="1:11" ht="31.5">
      <c r="A75" s="76">
        <v>13</v>
      </c>
      <c r="B75" s="83"/>
      <c r="C75" s="120" t="s">
        <v>207</v>
      </c>
      <c r="D75" s="78"/>
      <c r="E75" s="121">
        <v>81.01</v>
      </c>
      <c r="F75" s="122">
        <v>2</v>
      </c>
      <c r="G75" s="122">
        <f>F75*E75</f>
        <v>162.02</v>
      </c>
      <c r="H75" s="81"/>
      <c r="I75" s="82"/>
      <c r="J75" s="82"/>
      <c r="K75" s="82"/>
    </row>
    <row r="76" spans="1:11" ht="31.5">
      <c r="A76" s="76">
        <v>14</v>
      </c>
      <c r="B76" s="83"/>
      <c r="C76" s="120" t="s">
        <v>208</v>
      </c>
      <c r="D76" s="90"/>
      <c r="E76" s="121">
        <v>9.9</v>
      </c>
      <c r="F76" s="122">
        <v>7</v>
      </c>
      <c r="G76" s="122">
        <f>F76*E76</f>
        <v>69.3</v>
      </c>
      <c r="H76" s="81"/>
      <c r="I76" s="82"/>
      <c r="J76" s="82"/>
      <c r="K76" s="82"/>
    </row>
    <row r="77" spans="1:11" ht="31.5">
      <c r="A77" s="76">
        <v>15</v>
      </c>
      <c r="B77" s="83"/>
      <c r="C77" s="120" t="s">
        <v>209</v>
      </c>
      <c r="D77" s="78"/>
      <c r="E77" s="121">
        <v>888.8</v>
      </c>
      <c r="F77" s="122">
        <v>1</v>
      </c>
      <c r="G77" s="122">
        <f>E77*F77</f>
        <v>888.8</v>
      </c>
      <c r="H77" s="81"/>
      <c r="I77" s="82"/>
      <c r="J77" s="82"/>
      <c r="K77" s="82"/>
    </row>
    <row r="78" spans="1:11" ht="31.5">
      <c r="A78" s="76">
        <v>16</v>
      </c>
      <c r="B78" s="83"/>
      <c r="C78" s="120" t="s">
        <v>210</v>
      </c>
      <c r="D78" s="78"/>
      <c r="E78" s="121">
        <v>555.5</v>
      </c>
      <c r="F78" s="122">
        <v>1</v>
      </c>
      <c r="G78" s="122">
        <f>E78*F78</f>
        <v>555.5</v>
      </c>
      <c r="H78" s="81"/>
      <c r="I78" s="82"/>
      <c r="J78" s="82"/>
      <c r="K78" s="82"/>
    </row>
    <row r="79" spans="1:11" ht="47.25">
      <c r="A79" s="76">
        <v>17</v>
      </c>
      <c r="B79" s="83"/>
      <c r="C79" s="120" t="s">
        <v>211</v>
      </c>
      <c r="D79" s="90"/>
      <c r="E79" s="121">
        <v>60</v>
      </c>
      <c r="F79" s="122">
        <v>2</v>
      </c>
      <c r="G79" s="122">
        <f>E79*F79</f>
        <v>120</v>
      </c>
      <c r="H79" s="81"/>
      <c r="I79" s="82"/>
      <c r="J79" s="82"/>
      <c r="K79" s="82"/>
    </row>
    <row r="80" spans="1:11" ht="47.25">
      <c r="A80" s="76">
        <v>18</v>
      </c>
      <c r="B80" s="83"/>
      <c r="C80" s="120" t="s">
        <v>212</v>
      </c>
      <c r="D80" s="78"/>
      <c r="E80" s="121">
        <v>30</v>
      </c>
      <c r="F80" s="122">
        <v>8</v>
      </c>
      <c r="G80" s="122">
        <f>E80*F80</f>
        <v>240</v>
      </c>
      <c r="H80" s="81"/>
      <c r="I80" s="82"/>
      <c r="J80" s="82"/>
      <c r="K80" s="82"/>
    </row>
    <row r="81" spans="1:11" ht="31.5">
      <c r="A81" s="76">
        <v>19</v>
      </c>
      <c r="B81" s="83"/>
      <c r="C81" s="120" t="s">
        <v>213</v>
      </c>
      <c r="D81" s="90"/>
      <c r="E81" s="122">
        <v>17000</v>
      </c>
      <c r="F81" s="122">
        <v>1</v>
      </c>
      <c r="G81" s="122">
        <f>E81*F81</f>
        <v>17000</v>
      </c>
      <c r="H81" s="81"/>
      <c r="I81" s="82"/>
      <c r="J81" s="82"/>
      <c r="K81" s="82"/>
    </row>
    <row r="82" spans="1:11" ht="47.25">
      <c r="A82" s="76">
        <v>20</v>
      </c>
      <c r="B82" s="83"/>
      <c r="C82" s="120" t="s">
        <v>214</v>
      </c>
      <c r="D82" s="78"/>
      <c r="E82" s="121">
        <v>333.3</v>
      </c>
      <c r="F82" s="122">
        <v>1</v>
      </c>
      <c r="G82" s="122">
        <f>E82*F82</f>
        <v>333.3</v>
      </c>
      <c r="H82" s="81"/>
      <c r="I82" s="82"/>
      <c r="J82" s="82"/>
      <c r="K82" s="82"/>
    </row>
    <row r="83" spans="1:11" ht="18.75">
      <c r="A83" s="76">
        <v>21</v>
      </c>
      <c r="B83" s="64"/>
      <c r="C83" s="74" t="s">
        <v>215</v>
      </c>
      <c r="D83" s="69"/>
      <c r="E83" s="66">
        <v>1128.33</v>
      </c>
      <c r="F83" s="70">
        <v>1</v>
      </c>
      <c r="G83" s="71">
        <f>E83*F83</f>
        <v>1128.33</v>
      </c>
      <c r="H83" s="68"/>
      <c r="I83" s="68"/>
      <c r="J83" s="68"/>
      <c r="K83" s="64"/>
    </row>
    <row r="84" spans="1:11" ht="31.5">
      <c r="A84" s="76">
        <v>22</v>
      </c>
      <c r="B84" s="83"/>
      <c r="C84" s="120" t="s">
        <v>216</v>
      </c>
      <c r="D84" s="78"/>
      <c r="E84" s="123">
        <v>280</v>
      </c>
      <c r="F84" s="124">
        <v>1</v>
      </c>
      <c r="G84" s="122">
        <f>E84*F84</f>
        <v>280</v>
      </c>
      <c r="H84" s="81"/>
      <c r="I84" s="82"/>
      <c r="J84" s="82"/>
      <c r="K84" s="82"/>
    </row>
    <row r="85" spans="1:11" ht="31.5">
      <c r="A85" s="76">
        <v>23</v>
      </c>
      <c r="B85" s="83"/>
      <c r="C85" s="120" t="s">
        <v>217</v>
      </c>
      <c r="D85" s="90"/>
      <c r="E85" s="121">
        <v>333.3</v>
      </c>
      <c r="F85" s="122">
        <v>1</v>
      </c>
      <c r="G85" s="122">
        <f>E85*F85</f>
        <v>333.3</v>
      </c>
      <c r="H85" s="81"/>
      <c r="I85" s="82"/>
      <c r="J85" s="82"/>
      <c r="K85" s="82"/>
    </row>
    <row r="86" spans="1:11" ht="18.75">
      <c r="A86" s="76">
        <v>24</v>
      </c>
      <c r="B86" s="83"/>
      <c r="C86" s="120" t="s">
        <v>218</v>
      </c>
      <c r="D86" s="90"/>
      <c r="E86" s="121">
        <v>200</v>
      </c>
      <c r="F86" s="122">
        <v>1</v>
      </c>
      <c r="G86" s="122">
        <f>E86*F86</f>
        <v>200</v>
      </c>
      <c r="H86" s="81"/>
      <c r="I86" s="82"/>
      <c r="J86" s="82"/>
      <c r="K86" s="82"/>
    </row>
    <row r="87" spans="1:11" ht="31.5">
      <c r="A87" s="76">
        <v>25</v>
      </c>
      <c r="B87" s="83"/>
      <c r="C87" s="125" t="s">
        <v>219</v>
      </c>
      <c r="D87" s="90"/>
      <c r="E87" s="121">
        <v>178.168</v>
      </c>
      <c r="F87" s="126">
        <v>1</v>
      </c>
      <c r="G87" s="122">
        <f>E87*F87</f>
        <v>178.168</v>
      </c>
      <c r="H87" s="81"/>
      <c r="I87" s="82"/>
      <c r="J87" s="82"/>
      <c r="K87" s="82"/>
    </row>
    <row r="88" spans="1:11" ht="18.75">
      <c r="A88" s="76">
        <v>26</v>
      </c>
      <c r="B88" s="83"/>
      <c r="C88" s="125" t="s">
        <v>220</v>
      </c>
      <c r="D88" s="99"/>
      <c r="E88" s="126">
        <v>60.174</v>
      </c>
      <c r="F88" s="126">
        <v>1</v>
      </c>
      <c r="G88" s="122">
        <f>E88*F88</f>
        <v>60.174</v>
      </c>
      <c r="H88" s="81"/>
      <c r="I88" s="82"/>
      <c r="J88" s="82"/>
      <c r="K88" s="82"/>
    </row>
    <row r="89" spans="1:11" ht="18.75">
      <c r="A89" s="76">
        <v>27</v>
      </c>
      <c r="B89" s="83"/>
      <c r="C89" s="125" t="s">
        <v>221</v>
      </c>
      <c r="D89" s="78"/>
      <c r="E89" s="126">
        <v>201.415</v>
      </c>
      <c r="F89" s="126">
        <v>1</v>
      </c>
      <c r="G89" s="122">
        <f>E89*F89</f>
        <v>201.415</v>
      </c>
      <c r="H89" s="81"/>
      <c r="I89" s="82"/>
      <c r="J89" s="82"/>
      <c r="K89" s="82"/>
    </row>
    <row r="90" spans="1:11" ht="18.75">
      <c r="A90" s="76">
        <v>28</v>
      </c>
      <c r="B90" s="83"/>
      <c r="C90" s="125" t="s">
        <v>222</v>
      </c>
      <c r="D90" s="93"/>
      <c r="E90" s="126">
        <v>276.622</v>
      </c>
      <c r="F90" s="126">
        <v>1</v>
      </c>
      <c r="G90" s="122">
        <f>E90*F90</f>
        <v>276.622</v>
      </c>
      <c r="H90" s="81"/>
      <c r="I90" s="82"/>
      <c r="J90" s="82"/>
      <c r="K90" s="82"/>
    </row>
    <row r="91" spans="1:11" ht="47.25">
      <c r="A91" s="76">
        <v>29</v>
      </c>
      <c r="B91" s="83"/>
      <c r="C91" s="125" t="s">
        <v>223</v>
      </c>
      <c r="D91" s="93"/>
      <c r="E91" s="126">
        <v>60.872</v>
      </c>
      <c r="F91" s="126">
        <v>1</v>
      </c>
      <c r="G91" s="122">
        <f>E91*F91</f>
        <v>60.872</v>
      </c>
      <c r="H91" s="81"/>
      <c r="I91" s="82"/>
      <c r="J91" s="82"/>
      <c r="K91" s="82"/>
    </row>
    <row r="92" spans="1:11" ht="63">
      <c r="A92" s="76">
        <v>30</v>
      </c>
      <c r="B92" s="83"/>
      <c r="C92" s="127" t="s">
        <v>224</v>
      </c>
      <c r="D92" s="128"/>
      <c r="E92" s="126">
        <v>41.832</v>
      </c>
      <c r="F92" s="126">
        <v>1</v>
      </c>
      <c r="G92" s="122">
        <f>E92*F92</f>
        <v>41.832</v>
      </c>
      <c r="H92" s="81"/>
      <c r="I92" s="82"/>
      <c r="J92" s="82"/>
      <c r="K92" s="82"/>
    </row>
    <row r="93" spans="1:11" ht="18.75">
      <c r="A93" s="76">
        <v>31</v>
      </c>
      <c r="B93" s="83"/>
      <c r="C93" s="125" t="s">
        <v>225</v>
      </c>
      <c r="D93" s="129"/>
      <c r="E93" s="130"/>
      <c r="F93" s="115"/>
      <c r="G93" s="122">
        <v>1336.27</v>
      </c>
      <c r="H93" s="81"/>
      <c r="I93" s="82"/>
      <c r="J93" s="82"/>
      <c r="K93" s="82"/>
    </row>
    <row r="94" spans="1:11" ht="18.75">
      <c r="A94" s="131"/>
      <c r="B94" s="83"/>
      <c r="C94" s="84" t="s">
        <v>226</v>
      </c>
      <c r="D94" s="94"/>
      <c r="E94" s="86"/>
      <c r="F94" s="86"/>
      <c r="G94" s="80">
        <f>G4+G7+G10+G26+G45+G57+G58+G60+G69+G71+SUM(G73:G93)</f>
        <v>76037.7946</v>
      </c>
      <c r="H94" s="81"/>
      <c r="I94" s="82"/>
      <c r="J94" s="82"/>
      <c r="K94" s="82"/>
    </row>
  </sheetData>
  <sheetProtection selectLockedCells="1" selectUnlockedCells="1"/>
  <mergeCells count="10">
    <mergeCell ref="A1:K1"/>
    <mergeCell ref="A2:A3"/>
    <mergeCell ref="B2:B3"/>
    <mergeCell ref="C2:C3"/>
    <mergeCell ref="E2:E3"/>
    <mergeCell ref="F2:G2"/>
    <mergeCell ref="H2:H3"/>
    <mergeCell ref="I2:I3"/>
    <mergeCell ref="J2:J3"/>
    <mergeCell ref="K2:K3"/>
  </mergeCells>
  <printOptions/>
  <pageMargins left="0.7680555555555556" right="0.21666666666666667" top="0.21666666666666667" bottom="0.21666666666666667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17"/>
  <sheetViews>
    <sheetView view="pageBreakPreview" zoomScaleNormal="52" zoomScaleSheetLayoutView="100" workbookViewId="0" topLeftCell="A1">
      <selection activeCell="N17" sqref="N17"/>
    </sheetView>
  </sheetViews>
  <sheetFormatPr defaultColWidth="10.28125" defaultRowHeight="15" customHeight="1"/>
  <cols>
    <col min="1" max="1" width="5.7109375" style="0" customWidth="1"/>
    <col min="2" max="2" width="18.140625" style="0" customWidth="1"/>
    <col min="3" max="3" width="18.7109375" style="0" customWidth="1"/>
    <col min="4" max="4" width="13.28125" style="0" customWidth="1"/>
    <col min="5" max="5" width="10.57421875" style="0" customWidth="1"/>
    <col min="6" max="6" width="16.57421875" style="0" customWidth="1"/>
    <col min="7" max="7" width="18.421875" style="0" customWidth="1"/>
    <col min="8" max="8" width="14.57421875" style="0" customWidth="1"/>
    <col min="9" max="9" width="7.00390625" style="0" customWidth="1"/>
    <col min="10" max="10" width="13.28125" style="0" customWidth="1"/>
    <col min="11" max="11" width="12.57421875" style="0" customWidth="1"/>
    <col min="12" max="12" width="13.7109375" style="0" customWidth="1"/>
    <col min="13" max="13" width="12.57421875" style="0" customWidth="1"/>
    <col min="14" max="14" width="16.140625" style="0" customWidth="1"/>
    <col min="15" max="15" width="11.00390625" style="0" customWidth="1"/>
    <col min="16" max="16384" width="10.421875" style="0" customWidth="1"/>
  </cols>
  <sheetData>
    <row r="1" spans="1:15" ht="15.75" customHeight="1">
      <c r="A1" s="35" t="s">
        <v>227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6.75" customHeight="1">
      <c r="A2" s="36" t="s">
        <v>1</v>
      </c>
      <c r="B2" s="36" t="s">
        <v>34</v>
      </c>
      <c r="C2" s="36"/>
      <c r="D2" s="38" t="s">
        <v>3</v>
      </c>
      <c r="E2" s="38"/>
      <c r="F2" s="36" t="s">
        <v>4</v>
      </c>
      <c r="G2" s="36"/>
      <c r="H2" s="36"/>
      <c r="I2" s="36"/>
      <c r="J2" s="36"/>
      <c r="K2" s="36"/>
      <c r="L2" s="36"/>
      <c r="M2" s="36"/>
      <c r="N2" s="36" t="s">
        <v>35</v>
      </c>
      <c r="O2" s="36" t="s">
        <v>36</v>
      </c>
    </row>
    <row r="3" spans="1:15" ht="36.75" customHeight="1">
      <c r="A3" s="36"/>
      <c r="B3" s="36"/>
      <c r="C3" s="36"/>
      <c r="D3" s="38"/>
      <c r="E3" s="38"/>
      <c r="F3" s="38" t="s">
        <v>5</v>
      </c>
      <c r="G3" s="38"/>
      <c r="H3" s="38"/>
      <c r="I3" s="38"/>
      <c r="J3" s="39" t="s">
        <v>6</v>
      </c>
      <c r="K3" s="39" t="s">
        <v>7</v>
      </c>
      <c r="L3" s="39" t="s">
        <v>8</v>
      </c>
      <c r="M3" s="39" t="s">
        <v>9</v>
      </c>
      <c r="N3" s="36"/>
      <c r="O3" s="36"/>
    </row>
    <row r="4" spans="1:15" ht="36.75" customHeight="1">
      <c r="A4" s="36"/>
      <c r="B4" s="36"/>
      <c r="C4" s="36"/>
      <c r="D4" s="36" t="s">
        <v>37</v>
      </c>
      <c r="E4" s="36" t="s">
        <v>11</v>
      </c>
      <c r="F4" s="36" t="s">
        <v>38</v>
      </c>
      <c r="G4" s="36"/>
      <c r="H4" s="36" t="s">
        <v>228</v>
      </c>
      <c r="I4" s="36"/>
      <c r="J4" s="36" t="s">
        <v>37</v>
      </c>
      <c r="K4" s="36" t="s">
        <v>37</v>
      </c>
      <c r="L4" s="36" t="s">
        <v>37</v>
      </c>
      <c r="M4" s="36" t="s">
        <v>37</v>
      </c>
      <c r="N4" s="36"/>
      <c r="O4" s="36"/>
    </row>
    <row r="5" spans="1:15" ht="36.75" customHeight="1">
      <c r="A5" s="36"/>
      <c r="B5" s="36"/>
      <c r="C5" s="36"/>
      <c r="D5" s="36"/>
      <c r="E5" s="36"/>
      <c r="F5" s="36" t="s">
        <v>37</v>
      </c>
      <c r="G5" s="36" t="s">
        <v>11</v>
      </c>
      <c r="H5" s="36" t="s">
        <v>42</v>
      </c>
      <c r="I5" s="36" t="s">
        <v>11</v>
      </c>
      <c r="J5" s="36"/>
      <c r="K5" s="36"/>
      <c r="L5" s="36"/>
      <c r="M5" s="36"/>
      <c r="N5" s="38" t="s">
        <v>43</v>
      </c>
      <c r="O5" s="36"/>
    </row>
    <row r="6" spans="1:15" ht="36.75" customHeight="1">
      <c r="A6" s="132">
        <v>1</v>
      </c>
      <c r="B6" s="132">
        <v>2</v>
      </c>
      <c r="C6" s="132"/>
      <c r="D6" s="132">
        <v>3</v>
      </c>
      <c r="E6" s="132">
        <v>4</v>
      </c>
      <c r="F6" s="132">
        <v>5</v>
      </c>
      <c r="G6" s="132">
        <v>6</v>
      </c>
      <c r="H6" s="132">
        <v>7</v>
      </c>
      <c r="I6" s="132">
        <v>8</v>
      </c>
      <c r="J6" s="132">
        <v>9</v>
      </c>
      <c r="K6" s="132">
        <v>10</v>
      </c>
      <c r="L6" s="132">
        <v>11</v>
      </c>
      <c r="M6" s="132">
        <v>12</v>
      </c>
      <c r="N6" s="132">
        <v>13</v>
      </c>
      <c r="O6" s="132">
        <v>14</v>
      </c>
    </row>
    <row r="7" spans="1:15" ht="36.75" customHeight="1">
      <c r="A7" s="37" t="s">
        <v>229</v>
      </c>
      <c r="B7" s="37" t="s">
        <v>230</v>
      </c>
      <c r="C7" s="37"/>
      <c r="D7" s="41">
        <f>SUM(D8:D12,D15)</f>
        <v>29093.5</v>
      </c>
      <c r="E7" s="42">
        <f>IF(D17=0,0,D7/D17)</f>
        <v>0.9859362556551502</v>
      </c>
      <c r="F7" s="41">
        <f>SUM(F8:F12,F15)</f>
        <v>5818.7</v>
      </c>
      <c r="G7" s="42">
        <f>IF(F17=0,0,F7/F17)</f>
        <v>0.9859379262550219</v>
      </c>
      <c r="H7" s="41">
        <f>SUM(H8:H12,H15)</f>
        <v>0</v>
      </c>
      <c r="I7" s="45">
        <v>2.5</v>
      </c>
      <c r="J7" s="41">
        <f>SUM(J8:J12,J15)</f>
        <v>5818.7</v>
      </c>
      <c r="K7" s="41">
        <f>SUM(K8:K12,K15)</f>
        <v>5818.7</v>
      </c>
      <c r="L7" s="41">
        <f>SUM(L8:L12,L15)</f>
        <v>5818.7</v>
      </c>
      <c r="M7" s="41">
        <f>SUM(M8:M12,M15)</f>
        <v>5818.7</v>
      </c>
      <c r="N7" s="43"/>
      <c r="O7" s="43"/>
    </row>
    <row r="8" spans="1:15" ht="36.75" customHeight="1">
      <c r="A8" s="37" t="s">
        <v>231</v>
      </c>
      <c r="B8" s="133" t="s">
        <v>232</v>
      </c>
      <c r="C8" s="133"/>
      <c r="D8" s="41">
        <f>SUM(F8,J8:M8)</f>
        <v>0</v>
      </c>
      <c r="E8" s="42">
        <f>IF(D7=0,0,D8/D7)</f>
        <v>0</v>
      </c>
      <c r="F8" s="46">
        <v>0</v>
      </c>
      <c r="G8" s="42">
        <f>IF(F7=0,0,F8/F7)</f>
        <v>0</v>
      </c>
      <c r="H8" s="46" t="s">
        <v>233</v>
      </c>
      <c r="I8" s="45" t="s">
        <v>233</v>
      </c>
      <c r="J8" s="46">
        <v>0</v>
      </c>
      <c r="K8" s="46">
        <v>0</v>
      </c>
      <c r="L8" s="46">
        <v>0</v>
      </c>
      <c r="M8" s="46">
        <v>0</v>
      </c>
      <c r="N8" s="43"/>
      <c r="O8" s="43"/>
    </row>
    <row r="9" spans="1:15" ht="36.75" customHeight="1">
      <c r="A9" s="37" t="s">
        <v>234</v>
      </c>
      <c r="B9" s="134" t="s">
        <v>235</v>
      </c>
      <c r="C9" s="134"/>
      <c r="D9" s="41">
        <f>SUM(F9,J9:M9)</f>
        <v>0</v>
      </c>
      <c r="E9" s="42">
        <f>IF(D7=0,0,D9/D7)</f>
        <v>0</v>
      </c>
      <c r="F9" s="46">
        <v>0</v>
      </c>
      <c r="G9" s="42">
        <f>IF(F7=0,0,F9/F7)</f>
        <v>0</v>
      </c>
      <c r="H9" s="46" t="s">
        <v>233</v>
      </c>
      <c r="I9" s="45" t="s">
        <v>233</v>
      </c>
      <c r="J9" s="46">
        <v>0</v>
      </c>
      <c r="K9" s="46">
        <v>0</v>
      </c>
      <c r="L9" s="46">
        <v>0</v>
      </c>
      <c r="M9" s="46">
        <v>0</v>
      </c>
      <c r="N9" s="43"/>
      <c r="O9" s="43"/>
    </row>
    <row r="10" spans="1:15" ht="36.75" customHeight="1">
      <c r="A10" s="37" t="s">
        <v>236</v>
      </c>
      <c r="B10" s="135" t="s">
        <v>237</v>
      </c>
      <c r="C10" s="47" t="s">
        <v>238</v>
      </c>
      <c r="D10" s="48">
        <f>SUM(F10,J10:M10)</f>
        <v>0</v>
      </c>
      <c r="E10" s="49">
        <f>IF(D7=0,0,D10/D7)</f>
        <v>0</v>
      </c>
      <c r="F10" s="51">
        <v>0</v>
      </c>
      <c r="G10" s="42">
        <f>IF(F7=0,0,F10/F7)</f>
        <v>0</v>
      </c>
      <c r="H10" s="51" t="s">
        <v>233</v>
      </c>
      <c r="I10" s="52" t="s">
        <v>233</v>
      </c>
      <c r="J10" s="51">
        <v>0</v>
      </c>
      <c r="K10" s="51">
        <v>0</v>
      </c>
      <c r="L10" s="51">
        <v>0</v>
      </c>
      <c r="M10" s="51">
        <v>0</v>
      </c>
      <c r="N10" s="43"/>
      <c r="O10" s="43"/>
    </row>
    <row r="11" spans="1:15" ht="36.75" customHeight="1">
      <c r="A11" s="37"/>
      <c r="B11" s="135"/>
      <c r="C11" s="136" t="s">
        <v>239</v>
      </c>
      <c r="D11" s="48">
        <v>0</v>
      </c>
      <c r="E11" s="49">
        <f>IF(D7=0,0,D11/D7)</f>
        <v>0</v>
      </c>
      <c r="F11" s="51">
        <v>0</v>
      </c>
      <c r="G11" s="42">
        <f>IF(F7=0,0,F11/F7)</f>
        <v>0</v>
      </c>
      <c r="H11" s="51"/>
      <c r="I11" s="52"/>
      <c r="J11" s="51">
        <v>0</v>
      </c>
      <c r="K11" s="51">
        <v>0</v>
      </c>
      <c r="L11" s="51">
        <v>0</v>
      </c>
      <c r="M11" s="51">
        <v>0</v>
      </c>
      <c r="N11" s="43"/>
      <c r="O11" s="43"/>
    </row>
    <row r="12" spans="1:15" ht="36.75" customHeight="1">
      <c r="A12" s="37" t="s">
        <v>240</v>
      </c>
      <c r="B12" s="134" t="s">
        <v>241</v>
      </c>
      <c r="C12" s="134"/>
      <c r="D12" s="41">
        <f>SUM(D13:D14)</f>
        <v>29093.5</v>
      </c>
      <c r="E12" s="42">
        <f>IF(D7=0,0,D12/D7)</f>
        <v>1</v>
      </c>
      <c r="F12" s="41">
        <f>SUM(F13:F14)</f>
        <v>5818.7</v>
      </c>
      <c r="G12" s="42">
        <f>IF(F7=0,0,F12/F17)</f>
        <v>0.9859379262550219</v>
      </c>
      <c r="H12" s="41"/>
      <c r="I12" s="45" t="s">
        <v>233</v>
      </c>
      <c r="J12" s="41">
        <f>SUM(J13:J14)</f>
        <v>5818.7</v>
      </c>
      <c r="K12" s="41">
        <f>SUM(K13:K14)</f>
        <v>5818.7</v>
      </c>
      <c r="L12" s="41">
        <f>SUM(L13:L14)</f>
        <v>5818.7</v>
      </c>
      <c r="M12" s="41">
        <f>SUM(M13:M14)</f>
        <v>5818.7</v>
      </c>
      <c r="N12" s="43"/>
      <c r="O12" s="43"/>
    </row>
    <row r="13" spans="1:15" ht="36.75" customHeight="1">
      <c r="A13" s="37"/>
      <c r="B13" s="37" t="s">
        <v>242</v>
      </c>
      <c r="C13" s="37"/>
      <c r="D13" s="41">
        <f>SUM(F13,J13:M13)</f>
        <v>17018.75</v>
      </c>
      <c r="E13" s="42">
        <f>IF(D12=0,0,D13/D12)</f>
        <v>0.5849674325880351</v>
      </c>
      <c r="F13" s="46">
        <f>2560+843.75</f>
        <v>3403.75</v>
      </c>
      <c r="G13" s="42">
        <f>IF(F12=0,0,F13/F12)</f>
        <v>0.5849674325880352</v>
      </c>
      <c r="H13" s="46"/>
      <c r="I13" s="137"/>
      <c r="J13" s="46">
        <f>F13</f>
        <v>3403.75</v>
      </c>
      <c r="K13" s="46">
        <f>J13</f>
        <v>3403.75</v>
      </c>
      <c r="L13" s="46">
        <f>K13</f>
        <v>3403.75</v>
      </c>
      <c r="M13" s="46">
        <f>L13</f>
        <v>3403.75</v>
      </c>
      <c r="N13" s="43">
        <v>120</v>
      </c>
      <c r="O13" s="43"/>
    </row>
    <row r="14" spans="1:15" ht="36.75" customHeight="1">
      <c r="A14" s="37"/>
      <c r="B14" s="37" t="s">
        <v>243</v>
      </c>
      <c r="C14" s="37"/>
      <c r="D14" s="41">
        <f>SUM(F14,J14:M14)</f>
        <v>12074.75</v>
      </c>
      <c r="E14" s="42">
        <f>IF(D12=0,0,D14/D12)</f>
        <v>0.41503256741196487</v>
      </c>
      <c r="F14" s="46">
        <f>1675+63.63+187.5+71.32+31+274+112.5</f>
        <v>2414.95</v>
      </c>
      <c r="G14" s="42">
        <f>IF(F12=0,0,F14/F12)</f>
        <v>0.41503256741196487</v>
      </c>
      <c r="H14" s="138"/>
      <c r="I14" s="45"/>
      <c r="J14" s="46">
        <f>F14</f>
        <v>2414.95</v>
      </c>
      <c r="K14" s="46">
        <f>J14</f>
        <v>2414.95</v>
      </c>
      <c r="L14" s="46">
        <f>K14</f>
        <v>2414.95</v>
      </c>
      <c r="M14" s="46">
        <f>L14</f>
        <v>2414.95</v>
      </c>
      <c r="N14" s="43">
        <v>121</v>
      </c>
      <c r="O14" s="43"/>
    </row>
    <row r="15" spans="1:15" ht="36.75" customHeight="1">
      <c r="A15" s="37" t="s">
        <v>244</v>
      </c>
      <c r="B15" s="37" t="s">
        <v>245</v>
      </c>
      <c r="C15" s="37"/>
      <c r="D15" s="41">
        <f>SUM(F15,J15:M15)</f>
        <v>0</v>
      </c>
      <c r="E15" s="42">
        <f>IF(D7=0,0,D15/D7)</f>
        <v>0</v>
      </c>
      <c r="F15" s="46">
        <v>0</v>
      </c>
      <c r="G15" s="42">
        <f>IF(F7=0,0,F15/F7)</f>
        <v>0</v>
      </c>
      <c r="H15" s="46" t="s">
        <v>233</v>
      </c>
      <c r="I15" s="45" t="s">
        <v>233</v>
      </c>
      <c r="J15" s="46">
        <v>0</v>
      </c>
      <c r="K15" s="46">
        <v>0</v>
      </c>
      <c r="L15" s="46">
        <v>0</v>
      </c>
      <c r="M15" s="46">
        <v>0</v>
      </c>
      <c r="N15" s="43"/>
      <c r="O15" s="43"/>
    </row>
    <row r="16" spans="1:15" ht="36.75" customHeight="1">
      <c r="A16" s="37" t="s">
        <v>246</v>
      </c>
      <c r="B16" s="37" t="s">
        <v>25</v>
      </c>
      <c r="C16" s="37"/>
      <c r="D16" s="41">
        <f>SUM(F16,J16:M16)</f>
        <v>415</v>
      </c>
      <c r="E16" s="42">
        <f>IF(D17=0,0,D16/D17)</f>
        <v>0.014063744344849789</v>
      </c>
      <c r="F16" s="46">
        <v>83</v>
      </c>
      <c r="G16" s="42">
        <f>IF(F17=0,0,F16/F17)</f>
        <v>0.014063768174878722</v>
      </c>
      <c r="H16" s="46" t="s">
        <v>233</v>
      </c>
      <c r="I16" s="45" t="s">
        <v>233</v>
      </c>
      <c r="J16" s="46">
        <f>F16</f>
        <v>83</v>
      </c>
      <c r="K16" s="46">
        <f>J16</f>
        <v>83</v>
      </c>
      <c r="L16" s="46">
        <f>J16</f>
        <v>83</v>
      </c>
      <c r="M16" s="46">
        <f>J16</f>
        <v>83</v>
      </c>
      <c r="N16" s="43">
        <v>121</v>
      </c>
      <c r="O16" s="43"/>
    </row>
    <row r="17" spans="1:15" ht="36.75" customHeight="1">
      <c r="A17" s="37"/>
      <c r="B17" s="37" t="s">
        <v>26</v>
      </c>
      <c r="C17" s="37"/>
      <c r="D17" s="41">
        <f>SUM(D7,D16)</f>
        <v>29508.5</v>
      </c>
      <c r="E17" s="42">
        <f>SUM(E7,E16)</f>
        <v>1</v>
      </c>
      <c r="F17" s="41">
        <f>F12+F16-0.01</f>
        <v>5901.69</v>
      </c>
      <c r="G17" s="42">
        <f>SUM(G7,G16)</f>
        <v>1.0000016944299006</v>
      </c>
      <c r="H17" s="41">
        <f>SUM(H7,H16)</f>
        <v>0</v>
      </c>
      <c r="I17" s="45"/>
      <c r="J17" s="41">
        <f>J12+J16-0.01</f>
        <v>5901.69</v>
      </c>
      <c r="K17" s="41">
        <f>K12+K16-0.01</f>
        <v>5901.69</v>
      </c>
      <c r="L17" s="41">
        <f>L12+L16-0.01</f>
        <v>5901.69</v>
      </c>
      <c r="M17" s="41">
        <f>M12+M16-0.01</f>
        <v>5901.69</v>
      </c>
      <c r="N17" s="43"/>
      <c r="O17" s="43"/>
    </row>
  </sheetData>
  <sheetProtection selectLockedCells="1" selectUnlockedCells="1"/>
  <mergeCells count="29">
    <mergeCell ref="A1:O1"/>
    <mergeCell ref="A2:A5"/>
    <mergeCell ref="B2:C5"/>
    <mergeCell ref="D2:E3"/>
    <mergeCell ref="F2:M2"/>
    <mergeCell ref="N2:N4"/>
    <mergeCell ref="O2:O5"/>
    <mergeCell ref="F3:I3"/>
    <mergeCell ref="D4:D5"/>
    <mergeCell ref="E4:E5"/>
    <mergeCell ref="F4:G4"/>
    <mergeCell ref="H4:I4"/>
    <mergeCell ref="J4:J5"/>
    <mergeCell ref="K4:K5"/>
    <mergeCell ref="L4:L5"/>
    <mergeCell ref="M4:M5"/>
    <mergeCell ref="B6:C6"/>
    <mergeCell ref="B7:C7"/>
    <mergeCell ref="B8:C8"/>
    <mergeCell ref="B9:C9"/>
    <mergeCell ref="A10:A11"/>
    <mergeCell ref="B10:B11"/>
    <mergeCell ref="A12:A14"/>
    <mergeCell ref="B12:C12"/>
    <mergeCell ref="B13:C13"/>
    <mergeCell ref="B14:C14"/>
    <mergeCell ref="B15:C15"/>
    <mergeCell ref="B16:C16"/>
    <mergeCell ref="B17:C1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3"/>
  <sheetViews>
    <sheetView view="pageBreakPreview" zoomScaleNormal="52" zoomScaleSheetLayoutView="100" workbookViewId="0" topLeftCell="A1">
      <selection activeCell="K13" sqref="K13"/>
    </sheetView>
  </sheetViews>
  <sheetFormatPr defaultColWidth="10.28125" defaultRowHeight="12.75" customHeight="1"/>
  <cols>
    <col min="1" max="1" width="6.140625" style="2" customWidth="1"/>
    <col min="2" max="2" width="39.28125" style="2" customWidth="1"/>
    <col min="3" max="3" width="15.57421875" style="2" customWidth="1"/>
    <col min="4" max="4" width="9.8515625" style="2" customWidth="1"/>
    <col min="5" max="5" width="14.7109375" style="2" customWidth="1"/>
    <col min="6" max="6" width="17.28125" style="2" customWidth="1"/>
    <col min="7" max="7" width="19.140625" style="2" customWidth="1"/>
    <col min="8" max="8" width="15.140625" style="2" customWidth="1"/>
    <col min="9" max="9" width="13.00390625" style="2" customWidth="1"/>
    <col min="10" max="10" width="16.00390625" style="2" customWidth="1"/>
    <col min="11" max="11" width="19.28125" style="2" customWidth="1"/>
    <col min="12" max="12" width="15.57421875" style="2" customWidth="1"/>
    <col min="13" max="13" width="9.8515625" style="2" customWidth="1"/>
    <col min="14" max="16384" width="9.57421875" style="2" customWidth="1"/>
  </cols>
  <sheetData>
    <row r="1" spans="1:12" ht="24" customHeight="1">
      <c r="A1" s="35" t="s">
        <v>247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.75" customHeight="1">
      <c r="A2" s="36" t="s">
        <v>1</v>
      </c>
      <c r="B2" s="36" t="s">
        <v>34</v>
      </c>
      <c r="C2" s="139" t="s">
        <v>3</v>
      </c>
      <c r="D2" s="139"/>
      <c r="E2" s="36" t="s">
        <v>4</v>
      </c>
      <c r="F2" s="36"/>
      <c r="G2" s="36"/>
      <c r="H2" s="36"/>
      <c r="I2" s="36"/>
      <c r="J2" s="36"/>
      <c r="K2" s="36" t="s">
        <v>35</v>
      </c>
      <c r="L2" s="36" t="s">
        <v>36</v>
      </c>
    </row>
    <row r="3" spans="1:12" ht="37.5" customHeight="1">
      <c r="A3" s="36"/>
      <c r="B3" s="36"/>
      <c r="C3" s="139"/>
      <c r="D3" s="139"/>
      <c r="E3" s="39" t="s">
        <v>5</v>
      </c>
      <c r="F3" s="39"/>
      <c r="G3" s="39" t="s">
        <v>6</v>
      </c>
      <c r="H3" s="39" t="s">
        <v>7</v>
      </c>
      <c r="I3" s="39" t="s">
        <v>8</v>
      </c>
      <c r="J3" s="39" t="s">
        <v>9</v>
      </c>
      <c r="K3" s="36"/>
      <c r="L3" s="36"/>
    </row>
    <row r="4" spans="1:12" ht="25.5" customHeight="1">
      <c r="A4" s="36"/>
      <c r="B4" s="36"/>
      <c r="C4" s="36" t="s">
        <v>37</v>
      </c>
      <c r="D4" s="36" t="s">
        <v>11</v>
      </c>
      <c r="E4" s="36" t="s">
        <v>38</v>
      </c>
      <c r="F4" s="36"/>
      <c r="G4" s="36" t="s">
        <v>37</v>
      </c>
      <c r="H4" s="36" t="s">
        <v>37</v>
      </c>
      <c r="I4" s="36" t="s">
        <v>37</v>
      </c>
      <c r="J4" s="36" t="s">
        <v>37</v>
      </c>
      <c r="K4" s="36"/>
      <c r="L4" s="36"/>
    </row>
    <row r="5" spans="1:12" ht="17.25" customHeight="1">
      <c r="A5" s="36"/>
      <c r="B5" s="36"/>
      <c r="C5" s="36"/>
      <c r="D5" s="36"/>
      <c r="E5" s="36" t="s">
        <v>37</v>
      </c>
      <c r="F5" s="36" t="s">
        <v>11</v>
      </c>
      <c r="G5" s="36"/>
      <c r="H5" s="36"/>
      <c r="I5" s="36"/>
      <c r="J5" s="36"/>
      <c r="K5" s="38" t="s">
        <v>43</v>
      </c>
      <c r="L5" s="36"/>
    </row>
    <row r="6" spans="1:12" ht="15" customHeight="1">
      <c r="A6" s="132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>
        <v>9</v>
      </c>
      <c r="J6" s="132">
        <v>10</v>
      </c>
      <c r="K6" s="132">
        <v>11</v>
      </c>
      <c r="L6" s="132">
        <v>12</v>
      </c>
    </row>
    <row r="7" spans="1:12" ht="76.5" customHeight="1">
      <c r="A7" s="37" t="s">
        <v>248</v>
      </c>
      <c r="B7" s="37" t="s">
        <v>249</v>
      </c>
      <c r="C7" s="41">
        <f>SUM(E7,G7:J7)</f>
        <v>5850.9</v>
      </c>
      <c r="D7" s="42">
        <f>IF(C13=0,0,C7/C13)</f>
        <v>0.7902510180514192</v>
      </c>
      <c r="E7" s="41">
        <f>SUM(E8:E11)</f>
        <v>1170.1799999999998</v>
      </c>
      <c r="F7" s="42">
        <f>IF(E13=0,0,E7/E13)</f>
        <v>0.7902563548448094</v>
      </c>
      <c r="G7" s="41">
        <f>SUM(G8:G11)</f>
        <v>1170.1799999999998</v>
      </c>
      <c r="H7" s="41">
        <f>SUM(H8:H11)</f>
        <v>1170.1799999999998</v>
      </c>
      <c r="I7" s="41">
        <f>SUM(I8:I11)</f>
        <v>1170.1799999999998</v>
      </c>
      <c r="J7" s="41">
        <f>SUM(J8:J11)</f>
        <v>1170.1799999999998</v>
      </c>
      <c r="K7" s="43"/>
      <c r="L7" s="43"/>
    </row>
    <row r="8" spans="1:12" ht="28.5" customHeight="1">
      <c r="A8" s="37" t="s">
        <v>250</v>
      </c>
      <c r="B8" s="37" t="s">
        <v>251</v>
      </c>
      <c r="C8" s="41">
        <f>SUM(E8,G8:J8)</f>
        <v>0</v>
      </c>
      <c r="D8" s="42">
        <f>IF(C7=0,0,C8/C7)</f>
        <v>0</v>
      </c>
      <c r="E8" s="46">
        <v>0</v>
      </c>
      <c r="F8" s="42">
        <f>IF(E7=0,0,E8/E7)</f>
        <v>0</v>
      </c>
      <c r="G8" s="46">
        <v>0</v>
      </c>
      <c r="H8" s="46">
        <v>0</v>
      </c>
      <c r="I8" s="46">
        <v>0</v>
      </c>
      <c r="J8" s="46">
        <v>0</v>
      </c>
      <c r="K8" s="43"/>
      <c r="L8" s="43"/>
    </row>
    <row r="9" spans="1:12" ht="15.75" customHeight="1">
      <c r="A9" s="37" t="s">
        <v>252</v>
      </c>
      <c r="B9" s="37" t="s">
        <v>253</v>
      </c>
      <c r="C9" s="41">
        <f>SUM(E9,G9:J9)</f>
        <v>5730.049999999999</v>
      </c>
      <c r="D9" s="42">
        <f>IF(C7=0,0,C9/C7)</f>
        <v>0.9793450580252611</v>
      </c>
      <c r="E9" s="46">
        <f>649.01+413.9+41.55+41.55</f>
        <v>1146.0099999999998</v>
      </c>
      <c r="F9" s="42">
        <f>IF(E7=0,0,E9/E7)</f>
        <v>0.979345058025261</v>
      </c>
      <c r="G9" s="46">
        <f>649.01+413.9+41.55+41.55</f>
        <v>1146.0099999999998</v>
      </c>
      <c r="H9" s="46">
        <f>649.01+413.9+41.55+41.55</f>
        <v>1146.0099999999998</v>
      </c>
      <c r="I9" s="46">
        <f>649.01+413.9+41.55+41.55</f>
        <v>1146.0099999999998</v>
      </c>
      <c r="J9" s="46">
        <f>649.01+413.9+41.55+41.55</f>
        <v>1146.0099999999998</v>
      </c>
      <c r="K9" s="43">
        <v>127</v>
      </c>
      <c r="L9" s="43"/>
    </row>
    <row r="10" spans="1:12" ht="15.75" customHeight="1">
      <c r="A10" s="37" t="s">
        <v>254</v>
      </c>
      <c r="B10" s="37" t="s">
        <v>255</v>
      </c>
      <c r="C10" s="41">
        <f>SUM(E10,G10:J10)</f>
        <v>120.85000000000001</v>
      </c>
      <c r="D10" s="42">
        <f>IF(C7=0,0,C10/C7)</f>
        <v>0.02065494197473893</v>
      </c>
      <c r="E10" s="46">
        <v>24.17</v>
      </c>
      <c r="F10" s="42">
        <f>IF(E7=0,0,E10/E7)</f>
        <v>0.020654941974738935</v>
      </c>
      <c r="G10" s="46">
        <v>24.17</v>
      </c>
      <c r="H10" s="46">
        <v>24.17</v>
      </c>
      <c r="I10" s="46">
        <v>24.17</v>
      </c>
      <c r="J10" s="46">
        <v>24.17</v>
      </c>
      <c r="K10" s="43">
        <v>129</v>
      </c>
      <c r="L10" s="43"/>
    </row>
    <row r="11" spans="1:12" ht="15.75" customHeight="1">
      <c r="A11" s="37" t="s">
        <v>256</v>
      </c>
      <c r="B11" s="37" t="s">
        <v>257</v>
      </c>
      <c r="C11" s="41">
        <f>SUM(E11,G11:J11)</f>
        <v>0</v>
      </c>
      <c r="D11" s="42">
        <f>IF(C7=0,0,C11/C7)</f>
        <v>0</v>
      </c>
      <c r="E11" s="46">
        <v>0</v>
      </c>
      <c r="F11" s="42">
        <f>IF(E7=0,0,E11/E7)</f>
        <v>0</v>
      </c>
      <c r="G11" s="46">
        <v>0</v>
      </c>
      <c r="H11" s="46">
        <v>0</v>
      </c>
      <c r="I11" s="46">
        <v>0</v>
      </c>
      <c r="J11" s="46">
        <v>0</v>
      </c>
      <c r="K11" s="43"/>
      <c r="L11" s="43"/>
    </row>
    <row r="12" spans="1:12" ht="15" customHeight="1">
      <c r="A12" s="37" t="s">
        <v>258</v>
      </c>
      <c r="B12" s="37" t="s">
        <v>25</v>
      </c>
      <c r="C12" s="41">
        <f>SUM(E12,G12:J12)</f>
        <v>1552.9499999999998</v>
      </c>
      <c r="D12" s="42">
        <f>IF(C13=0,0,C12/C13)</f>
        <v>0.2097489819485808</v>
      </c>
      <c r="E12" s="46">
        <v>310.59</v>
      </c>
      <c r="F12" s="42">
        <f>IF(E13=0,0,E12/E13)</f>
        <v>0.20975039844404225</v>
      </c>
      <c r="G12" s="46">
        <v>310.59</v>
      </c>
      <c r="H12" s="46">
        <v>310.59</v>
      </c>
      <c r="I12" s="46">
        <v>310.59</v>
      </c>
      <c r="J12" s="46">
        <v>310.59</v>
      </c>
      <c r="K12" s="43">
        <v>131</v>
      </c>
      <c r="L12" s="43"/>
    </row>
    <row r="13" spans="1:12" ht="15.75" customHeight="1">
      <c r="A13" s="37"/>
      <c r="B13" s="37" t="s">
        <v>26</v>
      </c>
      <c r="C13" s="41">
        <f>SUM(C7,C12)</f>
        <v>7403.849999999999</v>
      </c>
      <c r="D13" s="42">
        <f>SUM(D7,D12)</f>
        <v>1</v>
      </c>
      <c r="E13" s="41">
        <f>SUM(E7,E12)-0.01</f>
        <v>1480.7599999999998</v>
      </c>
      <c r="F13" s="42">
        <f>SUM(F7,F12)</f>
        <v>1.0000067532888517</v>
      </c>
      <c r="G13" s="41">
        <f>SUM(G7,G12)-0.01</f>
        <v>1480.7599999999998</v>
      </c>
      <c r="H13" s="41">
        <f>SUM(H7,H12)-0.01</f>
        <v>1480.7599999999998</v>
      </c>
      <c r="I13" s="41">
        <f>SUM(I7,I12)-0.01</f>
        <v>1480.7599999999998</v>
      </c>
      <c r="J13" s="41">
        <f>SUM(J7,J12)-0.01</f>
        <v>1480.7599999999998</v>
      </c>
      <c r="K13" s="43"/>
      <c r="L13" s="43"/>
    </row>
  </sheetData>
  <sheetProtection selectLockedCells="1" selectUnlockedCells="1"/>
  <mergeCells count="15">
    <mergeCell ref="A1:L1"/>
    <mergeCell ref="A2:A5"/>
    <mergeCell ref="B2:B5"/>
    <mergeCell ref="C2:D3"/>
    <mergeCell ref="E2:J2"/>
    <mergeCell ref="K2:K4"/>
    <mergeCell ref="L2:L5"/>
    <mergeCell ref="E3:F3"/>
    <mergeCell ref="C4:C5"/>
    <mergeCell ref="D4:D5"/>
    <mergeCell ref="E4:F4"/>
    <mergeCell ref="G4:G5"/>
    <mergeCell ref="H4:H5"/>
    <mergeCell ref="I4:I5"/>
    <mergeCell ref="J4:J5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9"/>
  <sheetViews>
    <sheetView view="pageBreakPreview" zoomScaleNormal="74" zoomScaleSheetLayoutView="100" workbookViewId="0" topLeftCell="A16">
      <selection activeCell="A4" sqref="A4"/>
    </sheetView>
  </sheetViews>
  <sheetFormatPr defaultColWidth="9.140625" defaultRowHeight="12.75" customHeight="1"/>
  <cols>
    <col min="1" max="1" width="5.421875" style="140" customWidth="1"/>
    <col min="2" max="2" width="69.140625" style="0" customWidth="1"/>
    <col min="3" max="3" width="14.7109375" style="0" customWidth="1"/>
    <col min="4" max="4" width="21.8515625" style="0" customWidth="1"/>
    <col min="5" max="5" width="20.57421875" style="0" customWidth="1"/>
    <col min="6" max="6" width="17.28125" style="0" customWidth="1"/>
    <col min="7" max="7" width="19.140625" style="0" customWidth="1"/>
    <col min="8" max="8" width="15.140625" style="0" customWidth="1"/>
    <col min="9" max="9" width="9.8515625" style="0" customWidth="1"/>
    <col min="10" max="10" width="4.8515625" style="0" customWidth="1"/>
    <col min="11" max="11" width="9.421875" style="0" customWidth="1"/>
    <col min="12" max="12" width="15.57421875" style="0" customWidth="1"/>
    <col min="13" max="13" width="9.8515625" style="0" customWidth="1"/>
    <col min="14" max="16384" width="9.421875" style="0" customWidth="1"/>
  </cols>
  <sheetData>
    <row r="1" spans="1:9" ht="37.5" customHeight="1">
      <c r="A1" s="141" t="s">
        <v>259</v>
      </c>
      <c r="B1" s="141"/>
      <c r="C1" s="141"/>
      <c r="D1" s="141"/>
      <c r="E1" s="141"/>
      <c r="F1" s="141"/>
      <c r="G1" s="141"/>
      <c r="H1" s="141"/>
      <c r="I1" s="141"/>
    </row>
    <row r="2" spans="1:9" ht="111.75" customHeight="1">
      <c r="A2" s="142" t="s">
        <v>260</v>
      </c>
      <c r="B2" s="143" t="s">
        <v>261</v>
      </c>
      <c r="C2" s="143" t="s">
        <v>262</v>
      </c>
      <c r="D2" s="143" t="s">
        <v>263</v>
      </c>
      <c r="E2" s="143" t="s">
        <v>264</v>
      </c>
      <c r="F2" s="143" t="s">
        <v>265</v>
      </c>
      <c r="G2" s="143" t="s">
        <v>266</v>
      </c>
      <c r="H2" s="143" t="s">
        <v>267</v>
      </c>
      <c r="I2" s="143" t="s">
        <v>36</v>
      </c>
    </row>
    <row r="3" spans="1:9" ht="30" customHeight="1">
      <c r="A3" s="142"/>
      <c r="B3" s="143"/>
      <c r="C3" s="143"/>
      <c r="D3" s="143" t="s">
        <v>10</v>
      </c>
      <c r="E3" s="143"/>
      <c r="F3" s="143"/>
      <c r="G3" s="143"/>
      <c r="H3" s="143"/>
      <c r="I3" s="144"/>
    </row>
    <row r="4" spans="1:9" ht="15" customHeight="1">
      <c r="A4" s="145">
        <v>1</v>
      </c>
      <c r="B4" s="143">
        <v>2</v>
      </c>
      <c r="C4" s="143">
        <v>3</v>
      </c>
      <c r="D4" s="146">
        <v>4</v>
      </c>
      <c r="E4" s="146">
        <v>5</v>
      </c>
      <c r="F4" s="143">
        <v>6</v>
      </c>
      <c r="G4" s="143">
        <v>7</v>
      </c>
      <c r="H4" s="143">
        <v>8</v>
      </c>
      <c r="I4" s="147">
        <v>9</v>
      </c>
    </row>
    <row r="5" spans="1:9" ht="15" customHeight="1">
      <c r="A5" s="148" t="s">
        <v>268</v>
      </c>
      <c r="B5" s="149" t="s">
        <v>269</v>
      </c>
      <c r="C5" s="146">
        <v>2015</v>
      </c>
      <c r="D5" s="150"/>
      <c r="E5" s="150"/>
      <c r="F5" s="150">
        <f>778.809/1.2</f>
        <v>649.0075</v>
      </c>
      <c r="G5" s="151"/>
      <c r="H5" s="150"/>
      <c r="I5" s="152"/>
    </row>
    <row r="6" spans="1:9" ht="15" customHeight="1">
      <c r="A6" s="148" t="s">
        <v>270</v>
      </c>
      <c r="B6" s="149" t="s">
        <v>271</v>
      </c>
      <c r="C6" s="146">
        <v>2015</v>
      </c>
      <c r="D6" s="150"/>
      <c r="E6" s="150"/>
      <c r="F6" s="150">
        <f>496.679/1.2</f>
        <v>413.89916666666664</v>
      </c>
      <c r="G6" s="151"/>
      <c r="H6" s="150"/>
      <c r="I6" s="152"/>
    </row>
    <row r="7" spans="1:9" ht="15" customHeight="1">
      <c r="A7" s="148" t="s">
        <v>272</v>
      </c>
      <c r="B7" s="149" t="s">
        <v>273</v>
      </c>
      <c r="C7" s="146">
        <v>2015</v>
      </c>
      <c r="D7" s="150"/>
      <c r="E7" s="150"/>
      <c r="F7" s="150">
        <f>49.862/1.2</f>
        <v>41.55166666666667</v>
      </c>
      <c r="G7" s="151"/>
      <c r="H7" s="150"/>
      <c r="I7" s="152"/>
    </row>
    <row r="8" spans="1:9" ht="15" customHeight="1">
      <c r="A8" s="148" t="s">
        <v>274</v>
      </c>
      <c r="B8" s="149" t="s">
        <v>275</v>
      </c>
      <c r="C8" s="146">
        <v>2015</v>
      </c>
      <c r="D8" s="150"/>
      <c r="E8" s="150"/>
      <c r="F8" s="150">
        <f>49.862/1.2</f>
        <v>41.55166666666667</v>
      </c>
      <c r="G8" s="151"/>
      <c r="H8" s="150"/>
      <c r="I8" s="152"/>
    </row>
    <row r="9" spans="1:9" ht="15" customHeight="1">
      <c r="A9" s="148" t="s">
        <v>276</v>
      </c>
      <c r="B9" s="149" t="s">
        <v>277</v>
      </c>
      <c r="C9" s="146">
        <v>2016</v>
      </c>
      <c r="D9" s="150"/>
      <c r="E9" s="150"/>
      <c r="F9" s="150"/>
      <c r="G9" s="150">
        <v>365</v>
      </c>
      <c r="H9" s="151"/>
      <c r="I9" s="152"/>
    </row>
    <row r="10" spans="1:9" ht="15" customHeight="1">
      <c r="A10" s="148" t="s">
        <v>278</v>
      </c>
      <c r="B10" s="149" t="s">
        <v>279</v>
      </c>
      <c r="C10" s="146">
        <v>2016</v>
      </c>
      <c r="D10" s="150"/>
      <c r="E10" s="150"/>
      <c r="F10" s="150"/>
      <c r="G10" s="150">
        <v>365</v>
      </c>
      <c r="H10" s="151"/>
      <c r="I10" s="152"/>
    </row>
    <row r="11" spans="1:9" ht="15" customHeight="1">
      <c r="A11" s="148" t="s">
        <v>280</v>
      </c>
      <c r="B11" s="149" t="s">
        <v>281</v>
      </c>
      <c r="C11" s="146">
        <v>2016</v>
      </c>
      <c r="D11" s="150"/>
      <c r="E11" s="150"/>
      <c r="F11" s="150"/>
      <c r="G11" s="150">
        <v>28</v>
      </c>
      <c r="H11" s="151"/>
      <c r="I11" s="152"/>
    </row>
    <row r="12" spans="1:9" ht="15" customHeight="1">
      <c r="A12" s="148" t="s">
        <v>282</v>
      </c>
      <c r="B12" s="149" t="s">
        <v>283</v>
      </c>
      <c r="C12" s="146">
        <v>2016</v>
      </c>
      <c r="D12" s="150"/>
      <c r="E12" s="150"/>
      <c r="F12" s="150"/>
      <c r="G12" s="150">
        <v>43</v>
      </c>
      <c r="H12" s="151"/>
      <c r="I12" s="152"/>
    </row>
    <row r="13" spans="1:9" ht="15" customHeight="1">
      <c r="A13" s="148" t="s">
        <v>284</v>
      </c>
      <c r="B13" s="149" t="s">
        <v>285</v>
      </c>
      <c r="C13" s="146">
        <v>2017</v>
      </c>
      <c r="D13" s="150"/>
      <c r="E13" s="150"/>
      <c r="F13" s="150"/>
      <c r="G13" s="150">
        <v>250</v>
      </c>
      <c r="H13" s="151"/>
      <c r="I13" s="152"/>
    </row>
    <row r="14" spans="1:9" ht="15" customHeight="1">
      <c r="A14" s="148" t="s">
        <v>286</v>
      </c>
      <c r="B14" s="149" t="s">
        <v>287</v>
      </c>
      <c r="C14" s="146">
        <v>2017</v>
      </c>
      <c r="D14" s="150"/>
      <c r="E14" s="150"/>
      <c r="F14" s="150"/>
      <c r="G14" s="150">
        <v>250</v>
      </c>
      <c r="H14" s="151"/>
      <c r="I14" s="152"/>
    </row>
    <row r="15" spans="1:9" ht="15" customHeight="1">
      <c r="A15" s="148" t="s">
        <v>288</v>
      </c>
      <c r="B15" s="149" t="s">
        <v>289</v>
      </c>
      <c r="C15" s="146">
        <v>2017</v>
      </c>
      <c r="D15" s="150"/>
      <c r="E15" s="150"/>
      <c r="F15" s="150"/>
      <c r="G15" s="150">
        <v>43</v>
      </c>
      <c r="H15" s="151"/>
      <c r="I15" s="152"/>
    </row>
    <row r="16" spans="1:9" ht="15" customHeight="1">
      <c r="A16" s="148" t="s">
        <v>290</v>
      </c>
      <c r="B16" s="149" t="s">
        <v>291</v>
      </c>
      <c r="C16" s="146">
        <v>2017</v>
      </c>
      <c r="D16" s="150"/>
      <c r="E16" s="150"/>
      <c r="F16" s="150"/>
      <c r="G16" s="150">
        <v>28</v>
      </c>
      <c r="H16" s="151"/>
      <c r="I16" s="152"/>
    </row>
    <row r="17" spans="1:9" ht="15" customHeight="1">
      <c r="A17" s="148" t="s">
        <v>292</v>
      </c>
      <c r="B17" s="149" t="s">
        <v>293</v>
      </c>
      <c r="C17" s="146">
        <v>2018</v>
      </c>
      <c r="D17" s="150"/>
      <c r="E17" s="150"/>
      <c r="F17" s="150"/>
      <c r="G17" s="150">
        <v>365</v>
      </c>
      <c r="H17" s="151"/>
      <c r="I17" s="152"/>
    </row>
    <row r="18" spans="1:9" ht="15" customHeight="1">
      <c r="A18" s="148" t="s">
        <v>294</v>
      </c>
      <c r="B18" s="149" t="s">
        <v>295</v>
      </c>
      <c r="C18" s="146">
        <v>2018</v>
      </c>
      <c r="D18" s="150"/>
      <c r="E18" s="150"/>
      <c r="F18" s="150"/>
      <c r="G18" s="150">
        <v>365</v>
      </c>
      <c r="H18" s="151"/>
      <c r="I18" s="152"/>
    </row>
    <row r="19" spans="1:9" ht="15" customHeight="1">
      <c r="A19" s="148" t="s">
        <v>296</v>
      </c>
      <c r="B19" s="149" t="s">
        <v>297</v>
      </c>
      <c r="C19" s="146">
        <v>2018</v>
      </c>
      <c r="D19" s="150"/>
      <c r="E19" s="150"/>
      <c r="F19" s="150"/>
      <c r="G19" s="150">
        <v>43</v>
      </c>
      <c r="H19" s="151"/>
      <c r="I19" s="152"/>
    </row>
    <row r="20" spans="1:9" ht="15" customHeight="1">
      <c r="A20" s="148" t="s">
        <v>298</v>
      </c>
      <c r="B20" s="149" t="s">
        <v>299</v>
      </c>
      <c r="C20" s="146">
        <v>2018</v>
      </c>
      <c r="D20" s="150"/>
      <c r="E20" s="150"/>
      <c r="F20" s="150"/>
      <c r="G20" s="150">
        <v>28</v>
      </c>
      <c r="H20" s="151"/>
      <c r="I20" s="152"/>
    </row>
    <row r="21" spans="1:9" ht="15" customHeight="1">
      <c r="A21" s="148" t="s">
        <v>300</v>
      </c>
      <c r="B21" s="149" t="s">
        <v>301</v>
      </c>
      <c r="C21" s="146">
        <v>2019</v>
      </c>
      <c r="D21" s="150"/>
      <c r="E21" s="150"/>
      <c r="F21" s="150"/>
      <c r="G21" s="150">
        <v>250</v>
      </c>
      <c r="H21" s="151"/>
      <c r="I21" s="152"/>
    </row>
    <row r="22" spans="1:9" ht="15" customHeight="1">
      <c r="A22" s="148" t="s">
        <v>302</v>
      </c>
      <c r="B22" s="149" t="s">
        <v>303</v>
      </c>
      <c r="C22" s="146">
        <v>2019</v>
      </c>
      <c r="D22" s="150"/>
      <c r="E22" s="150"/>
      <c r="F22" s="150"/>
      <c r="G22" s="150">
        <v>365</v>
      </c>
      <c r="H22" s="151"/>
      <c r="I22" s="152"/>
    </row>
    <row r="23" spans="1:9" ht="15" customHeight="1">
      <c r="A23" s="148" t="s">
        <v>304</v>
      </c>
      <c r="B23" s="149" t="s">
        <v>305</v>
      </c>
      <c r="C23" s="146">
        <v>2019</v>
      </c>
      <c r="D23" s="150"/>
      <c r="E23" s="150"/>
      <c r="F23" s="150"/>
      <c r="G23" s="150">
        <v>43</v>
      </c>
      <c r="H23" s="151"/>
      <c r="I23" s="152"/>
    </row>
    <row r="24" spans="1:9" ht="15" customHeight="1">
      <c r="A24" s="148" t="s">
        <v>306</v>
      </c>
      <c r="B24" s="149" t="s">
        <v>307</v>
      </c>
      <c r="C24" s="146">
        <v>2019</v>
      </c>
      <c r="D24" s="150"/>
      <c r="E24" s="150"/>
      <c r="F24" s="150"/>
      <c r="G24" s="150">
        <v>28</v>
      </c>
      <c r="H24" s="151"/>
      <c r="I24" s="152"/>
    </row>
    <row r="25" spans="1:9" ht="15" customHeight="1">
      <c r="A25" s="148" t="s">
        <v>308</v>
      </c>
      <c r="B25" s="149" t="s">
        <v>309</v>
      </c>
      <c r="C25" s="146">
        <v>2020</v>
      </c>
      <c r="D25" s="150"/>
      <c r="E25" s="150"/>
      <c r="F25" s="150"/>
      <c r="G25" s="150">
        <v>365</v>
      </c>
      <c r="H25" s="151"/>
      <c r="I25" s="152"/>
    </row>
    <row r="26" spans="1:9" ht="15" customHeight="1">
      <c r="A26" s="148" t="s">
        <v>310</v>
      </c>
      <c r="B26" s="149" t="s">
        <v>311</v>
      </c>
      <c r="C26" s="146">
        <v>2020</v>
      </c>
      <c r="D26" s="150"/>
      <c r="E26" s="150"/>
      <c r="F26" s="150"/>
      <c r="G26" s="150">
        <v>250</v>
      </c>
      <c r="H26" s="151"/>
      <c r="I26" s="152"/>
    </row>
    <row r="27" spans="1:9" ht="15" customHeight="1">
      <c r="A27" s="148" t="s">
        <v>312</v>
      </c>
      <c r="B27" s="149" t="s">
        <v>313</v>
      </c>
      <c r="C27" s="146">
        <v>2020</v>
      </c>
      <c r="D27" s="150"/>
      <c r="E27" s="150"/>
      <c r="F27" s="150"/>
      <c r="G27" s="150">
        <v>43</v>
      </c>
      <c r="H27" s="151"/>
      <c r="I27" s="152"/>
    </row>
    <row r="28" spans="1:9" ht="15" customHeight="1">
      <c r="A28" s="148" t="s">
        <v>314</v>
      </c>
      <c r="B28" s="149" t="s">
        <v>315</v>
      </c>
      <c r="C28" s="146">
        <v>2020</v>
      </c>
      <c r="D28" s="150"/>
      <c r="E28" s="150"/>
      <c r="F28" s="150"/>
      <c r="G28" s="150">
        <v>28</v>
      </c>
      <c r="H28" s="151"/>
      <c r="I28" s="152"/>
    </row>
    <row r="29" spans="1:9" ht="15" customHeight="1">
      <c r="A29" s="148" t="s">
        <v>316</v>
      </c>
      <c r="B29" s="149" t="s">
        <v>317</v>
      </c>
      <c r="C29" s="146">
        <v>2021</v>
      </c>
      <c r="D29" s="150"/>
      <c r="E29" s="150"/>
      <c r="F29" s="150"/>
      <c r="G29" s="150">
        <v>365</v>
      </c>
      <c r="H29" s="151"/>
      <c r="I29" s="152"/>
    </row>
    <row r="30" spans="1:9" ht="15" customHeight="1">
      <c r="A30" s="148" t="s">
        <v>318</v>
      </c>
      <c r="B30" s="149" t="s">
        <v>319</v>
      </c>
      <c r="C30" s="146">
        <v>2021</v>
      </c>
      <c r="D30" s="150"/>
      <c r="E30" s="150"/>
      <c r="F30" s="150"/>
      <c r="G30" s="150">
        <v>250</v>
      </c>
      <c r="H30" s="151"/>
      <c r="I30" s="152"/>
    </row>
    <row r="31" spans="1:9" ht="15" customHeight="1">
      <c r="A31" s="148" t="s">
        <v>320</v>
      </c>
      <c r="B31" s="149" t="s">
        <v>321</v>
      </c>
      <c r="C31" s="146">
        <v>2021</v>
      </c>
      <c r="D31" s="150"/>
      <c r="E31" s="150"/>
      <c r="F31" s="150"/>
      <c r="G31" s="150">
        <v>43</v>
      </c>
      <c r="H31" s="151"/>
      <c r="I31" s="152"/>
    </row>
    <row r="32" spans="1:9" ht="15" customHeight="1">
      <c r="A32" s="148" t="s">
        <v>322</v>
      </c>
      <c r="B32" s="149" t="s">
        <v>323</v>
      </c>
      <c r="C32" s="146">
        <v>2021</v>
      </c>
      <c r="D32" s="150"/>
      <c r="E32" s="150"/>
      <c r="F32" s="150"/>
      <c r="G32" s="150">
        <v>28</v>
      </c>
      <c r="H32" s="151"/>
      <c r="I32" s="152"/>
    </row>
    <row r="33" spans="1:9" ht="15" customHeight="1" hidden="1">
      <c r="A33" s="153" t="s">
        <v>324</v>
      </c>
      <c r="B33" s="154" t="s">
        <v>325</v>
      </c>
      <c r="C33" s="155">
        <v>2022</v>
      </c>
      <c r="D33" s="156"/>
      <c r="E33" s="156"/>
      <c r="F33" s="156"/>
      <c r="G33" s="157"/>
      <c r="H33" s="156">
        <v>365</v>
      </c>
      <c r="I33" s="158"/>
    </row>
    <row r="34" spans="1:9" ht="15" customHeight="1" hidden="1">
      <c r="A34" s="153" t="s">
        <v>326</v>
      </c>
      <c r="B34" s="154" t="s">
        <v>327</v>
      </c>
      <c r="C34" s="155">
        <v>2022</v>
      </c>
      <c r="D34" s="156"/>
      <c r="E34" s="156"/>
      <c r="F34" s="156"/>
      <c r="G34" s="157"/>
      <c r="H34" s="156">
        <v>250</v>
      </c>
      <c r="I34" s="158"/>
    </row>
    <row r="35" spans="1:9" ht="15" customHeight="1" hidden="1">
      <c r="A35" s="159" t="s">
        <v>328</v>
      </c>
      <c r="B35" s="160" t="s">
        <v>329</v>
      </c>
      <c r="C35" s="161">
        <v>2022</v>
      </c>
      <c r="D35" s="162"/>
      <c r="E35" s="162"/>
      <c r="F35" s="162"/>
      <c r="G35" s="163"/>
      <c r="H35" s="162">
        <v>43</v>
      </c>
      <c r="I35" s="164"/>
    </row>
    <row r="36" spans="1:9" ht="15" customHeight="1" hidden="1">
      <c r="A36" s="159" t="s">
        <v>330</v>
      </c>
      <c r="B36" s="160" t="s">
        <v>331</v>
      </c>
      <c r="C36" s="161">
        <v>2022</v>
      </c>
      <c r="D36" s="162"/>
      <c r="E36" s="162"/>
      <c r="F36" s="162"/>
      <c r="G36" s="163"/>
      <c r="H36" s="162">
        <v>28</v>
      </c>
      <c r="I36" s="164"/>
    </row>
    <row r="37" spans="1:9" ht="15" customHeight="1" hidden="1">
      <c r="A37" s="153" t="s">
        <v>332</v>
      </c>
      <c r="B37" s="154" t="s">
        <v>333</v>
      </c>
      <c r="C37" s="155">
        <v>2023</v>
      </c>
      <c r="D37" s="156"/>
      <c r="E37" s="156"/>
      <c r="F37" s="156"/>
      <c r="G37" s="157"/>
      <c r="H37" s="156">
        <v>365</v>
      </c>
      <c r="I37" s="158"/>
    </row>
    <row r="38" spans="1:9" ht="15" customHeight="1" hidden="1">
      <c r="A38" s="153" t="s">
        <v>334</v>
      </c>
      <c r="B38" s="154" t="s">
        <v>335</v>
      </c>
      <c r="C38" s="155">
        <v>2023</v>
      </c>
      <c r="D38" s="156"/>
      <c r="E38" s="156"/>
      <c r="F38" s="156"/>
      <c r="G38" s="157"/>
      <c r="H38" s="156">
        <v>250</v>
      </c>
      <c r="I38" s="158"/>
    </row>
    <row r="39" spans="1:9" ht="15" customHeight="1" hidden="1">
      <c r="A39" s="159" t="s">
        <v>336</v>
      </c>
      <c r="B39" s="160" t="s">
        <v>337</v>
      </c>
      <c r="C39" s="161">
        <v>2023</v>
      </c>
      <c r="D39" s="162"/>
      <c r="E39" s="162"/>
      <c r="F39" s="162"/>
      <c r="G39" s="163"/>
      <c r="H39" s="162">
        <v>43</v>
      </c>
      <c r="I39" s="164"/>
    </row>
    <row r="40" spans="1:9" ht="15" customHeight="1" hidden="1">
      <c r="A40" s="159" t="s">
        <v>338</v>
      </c>
      <c r="B40" s="160" t="s">
        <v>339</v>
      </c>
      <c r="C40" s="161">
        <v>2023</v>
      </c>
      <c r="D40" s="162"/>
      <c r="E40" s="162"/>
      <c r="F40" s="162"/>
      <c r="G40" s="163"/>
      <c r="H40" s="162">
        <v>28</v>
      </c>
      <c r="I40" s="164"/>
    </row>
    <row r="41" spans="1:9" ht="15" customHeight="1" hidden="1">
      <c r="A41" s="153" t="s">
        <v>340</v>
      </c>
      <c r="B41" s="154" t="s">
        <v>341</v>
      </c>
      <c r="C41" s="155">
        <v>2024</v>
      </c>
      <c r="D41" s="156"/>
      <c r="E41" s="156"/>
      <c r="F41" s="156"/>
      <c r="G41" s="157"/>
      <c r="H41" s="156">
        <v>365</v>
      </c>
      <c r="I41" s="158"/>
    </row>
    <row r="42" spans="1:9" ht="15" customHeight="1" hidden="1">
      <c r="A42" s="153" t="s">
        <v>342</v>
      </c>
      <c r="B42" s="154" t="s">
        <v>343</v>
      </c>
      <c r="C42" s="155">
        <v>2024</v>
      </c>
      <c r="D42" s="156"/>
      <c r="E42" s="156"/>
      <c r="F42" s="156"/>
      <c r="G42" s="157"/>
      <c r="H42" s="156"/>
      <c r="I42" s="158"/>
    </row>
    <row r="43" spans="1:9" ht="15" customHeight="1" hidden="1">
      <c r="A43" s="148" t="s">
        <v>342</v>
      </c>
      <c r="B43" s="149" t="s">
        <v>344</v>
      </c>
      <c r="C43" s="146">
        <v>2024</v>
      </c>
      <c r="D43" s="150"/>
      <c r="E43" s="150"/>
      <c r="F43" s="150"/>
      <c r="G43" s="165"/>
      <c r="H43" s="150">
        <v>365</v>
      </c>
      <c r="I43" s="152"/>
    </row>
    <row r="44" spans="1:9" ht="15" customHeight="1">
      <c r="A44" s="166" t="s">
        <v>345</v>
      </c>
      <c r="B44" s="166"/>
      <c r="C44" s="167">
        <v>7</v>
      </c>
      <c r="D44" s="168">
        <f>9537/1.2</f>
        <v>7947.5</v>
      </c>
      <c r="E44" s="169">
        <f>2413.77/1.2</f>
        <v>2011.4750000000001</v>
      </c>
      <c r="F44" s="168">
        <f>SUM(F5:F8)</f>
        <v>1146.01</v>
      </c>
      <c r="G44" s="168">
        <f>SUM(G9:G32)</f>
        <v>4231</v>
      </c>
      <c r="H44" s="168">
        <f>SUM(H45:H50)</f>
        <v>4231</v>
      </c>
      <c r="I44" s="168"/>
    </row>
    <row r="45" spans="1:9" ht="15" customHeight="1">
      <c r="A45" s="170"/>
      <c r="B45" s="171"/>
      <c r="C45" s="172" t="s">
        <v>346</v>
      </c>
      <c r="D45" s="172"/>
      <c r="E45" s="172"/>
      <c r="F45" s="172"/>
      <c r="G45" s="173" t="s">
        <v>347</v>
      </c>
      <c r="H45" s="174">
        <f>SUM(G9:G12)</f>
        <v>801</v>
      </c>
      <c r="I45" s="175"/>
    </row>
    <row r="46" spans="1:9" ht="15" customHeight="1">
      <c r="A46" s="170"/>
      <c r="B46" s="171"/>
      <c r="C46" s="176"/>
      <c r="D46" s="176"/>
      <c r="E46" s="176"/>
      <c r="F46" s="176"/>
      <c r="G46" s="177" t="s">
        <v>348</v>
      </c>
      <c r="H46" s="174">
        <f>SUM(G13:G16)</f>
        <v>571</v>
      </c>
      <c r="I46" s="175"/>
    </row>
    <row r="47" spans="1:9" ht="15" customHeight="1">
      <c r="A47" s="170"/>
      <c r="B47" s="171"/>
      <c r="C47" s="176"/>
      <c r="D47" s="176"/>
      <c r="E47" s="176"/>
      <c r="F47" s="176"/>
      <c r="G47" s="177" t="s">
        <v>349</v>
      </c>
      <c r="H47" s="174">
        <f>SUM(G17:G20)</f>
        <v>801</v>
      </c>
      <c r="I47" s="175"/>
    </row>
    <row r="48" spans="1:9" ht="15" customHeight="1">
      <c r="A48" s="170"/>
      <c r="B48" s="171"/>
      <c r="C48" s="176"/>
      <c r="D48" s="176"/>
      <c r="E48" s="176"/>
      <c r="F48" s="176"/>
      <c r="G48" s="177" t="s">
        <v>350</v>
      </c>
      <c r="H48" s="174">
        <f>SUM(G21:G24)</f>
        <v>686</v>
      </c>
      <c r="I48" s="175"/>
    </row>
    <row r="49" spans="1:9" ht="15" customHeight="1">
      <c r="A49" s="170"/>
      <c r="B49" s="171"/>
      <c r="C49" s="176"/>
      <c r="D49" s="176"/>
      <c r="E49" s="176"/>
      <c r="F49" s="176"/>
      <c r="G49" s="177" t="s">
        <v>351</v>
      </c>
      <c r="H49" s="174">
        <f>SUM(G25:G28)</f>
        <v>686</v>
      </c>
      <c r="I49" s="175"/>
    </row>
    <row r="50" spans="1:9" ht="15" customHeight="1">
      <c r="A50" s="170"/>
      <c r="B50" s="171"/>
      <c r="C50" s="176"/>
      <c r="D50" s="176"/>
      <c r="E50" s="176"/>
      <c r="F50" s="176"/>
      <c r="G50" s="177" t="s">
        <v>352</v>
      </c>
      <c r="H50" s="174">
        <f>SUM(G29:G32)</f>
        <v>686</v>
      </c>
      <c r="I50" s="175"/>
    </row>
    <row r="51" spans="1:9" ht="15" customHeight="1">
      <c r="A51" s="170"/>
      <c r="B51" s="171"/>
      <c r="C51" s="176"/>
      <c r="D51" s="178"/>
      <c r="E51" s="178"/>
      <c r="F51" s="178"/>
      <c r="G51" s="179"/>
      <c r="H51" s="180"/>
      <c r="I51" s="181"/>
    </row>
    <row r="52" spans="1:9" ht="15" customHeight="1">
      <c r="A52" s="170"/>
      <c r="B52" s="171"/>
      <c r="C52" s="176"/>
      <c r="D52" s="178"/>
      <c r="E52" s="178"/>
      <c r="F52" s="178"/>
      <c r="G52" s="179"/>
      <c r="H52" s="179"/>
      <c r="I52" s="181"/>
    </row>
    <row r="53" spans="1:9" ht="15" customHeight="1">
      <c r="A53" s="182"/>
      <c r="B53" s="183"/>
      <c r="C53" s="183"/>
      <c r="D53" s="183"/>
      <c r="E53" s="183"/>
      <c r="F53" s="183"/>
      <c r="G53" s="183"/>
      <c r="H53" s="183"/>
      <c r="I53" s="183"/>
    </row>
    <row r="54" spans="1:9" ht="15" customHeight="1">
      <c r="A54" s="184" t="s">
        <v>353</v>
      </c>
      <c r="B54" s="184"/>
      <c r="C54" s="179"/>
      <c r="D54" s="183"/>
      <c r="E54" s="185" t="s">
        <v>354</v>
      </c>
      <c r="F54" s="185"/>
      <c r="G54" s="185"/>
      <c r="H54" s="185" t="s">
        <v>355</v>
      </c>
      <c r="I54" s="185"/>
    </row>
    <row r="55" spans="1:9" ht="15" customHeight="1">
      <c r="A55" s="186" t="s">
        <v>356</v>
      </c>
      <c r="B55" s="186"/>
      <c r="C55" s="179"/>
      <c r="D55" s="187"/>
      <c r="E55" s="185" t="s">
        <v>30</v>
      </c>
      <c r="F55" s="185"/>
      <c r="G55" s="185"/>
      <c r="H55" s="185" t="s">
        <v>357</v>
      </c>
      <c r="I55" s="185"/>
    </row>
    <row r="56" spans="1:9" ht="15" customHeight="1">
      <c r="A56" s="188"/>
      <c r="B56" s="188"/>
      <c r="C56" s="179"/>
      <c r="D56" s="183"/>
      <c r="E56" s="183"/>
      <c r="F56" s="183"/>
      <c r="G56" s="183"/>
      <c r="H56" s="183"/>
      <c r="I56" s="183"/>
    </row>
    <row r="57" spans="1:9" ht="15" customHeight="1">
      <c r="A57" s="189" t="s">
        <v>358</v>
      </c>
      <c r="B57" s="189"/>
      <c r="C57" s="189"/>
      <c r="D57" s="189"/>
      <c r="E57" s="189"/>
      <c r="F57" s="190"/>
      <c r="G57" s="183"/>
      <c r="H57" s="183"/>
      <c r="I57" s="183"/>
    </row>
    <row r="58" spans="1:9" ht="15" customHeight="1">
      <c r="A58" s="191"/>
      <c r="B58" s="191"/>
      <c r="C58" s="179"/>
      <c r="D58" s="183"/>
      <c r="E58" s="183"/>
      <c r="F58" s="183"/>
      <c r="G58" s="183"/>
      <c r="H58" s="183"/>
      <c r="I58" s="183"/>
    </row>
    <row r="59" spans="1:9" ht="15" customHeight="1">
      <c r="A59" s="191" t="s">
        <v>32</v>
      </c>
      <c r="B59" s="191"/>
      <c r="C59" s="179"/>
      <c r="D59" s="181"/>
      <c r="E59" s="181"/>
      <c r="F59" s="181"/>
      <c r="G59" s="181"/>
      <c r="H59" s="181"/>
      <c r="I59" s="181"/>
    </row>
  </sheetData>
  <sheetProtection selectLockedCells="1" selectUnlockedCells="1"/>
  <mergeCells count="13">
    <mergeCell ref="A1:I1"/>
    <mergeCell ref="A2:A3"/>
    <mergeCell ref="B2:B3"/>
    <mergeCell ref="C2:C3"/>
    <mergeCell ref="D3:H3"/>
    <mergeCell ref="A44:B44"/>
    <mergeCell ref="C45:F45"/>
    <mergeCell ref="C46:F46"/>
    <mergeCell ref="C47:F47"/>
    <mergeCell ref="C48:F48"/>
    <mergeCell ref="C49:F49"/>
    <mergeCell ref="C50:F50"/>
    <mergeCell ref="A57:E57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23"/>
  <sheetViews>
    <sheetView view="pageBreakPreview" zoomScaleNormal="52" zoomScaleSheetLayoutView="100" workbookViewId="0" topLeftCell="A1">
      <selection activeCell="L31" sqref="L31"/>
    </sheetView>
  </sheetViews>
  <sheetFormatPr defaultColWidth="10.28125" defaultRowHeight="15" customHeight="1"/>
  <cols>
    <col min="1" max="1" width="10.421875" style="0" customWidth="1"/>
    <col min="2" max="2" width="28.421875" style="0" customWidth="1"/>
    <col min="3" max="3" width="12.57421875" style="0" customWidth="1"/>
    <col min="4" max="4" width="10.421875" style="0" customWidth="1"/>
    <col min="5" max="5" width="13.8515625" style="0" customWidth="1"/>
    <col min="6" max="6" width="16.57421875" style="0" customWidth="1"/>
    <col min="7" max="7" width="13.8515625" style="0" customWidth="1"/>
    <col min="8" max="8" width="14.57421875" style="0" customWidth="1"/>
    <col min="9" max="9" width="13.00390625" style="0" customWidth="1"/>
    <col min="10" max="10" width="13.140625" style="0" customWidth="1"/>
    <col min="11" max="11" width="20.421875" style="0" customWidth="1"/>
    <col min="12" max="12" width="15.00390625" style="0" customWidth="1"/>
    <col min="13" max="16384" width="10.421875" style="0" customWidth="1"/>
  </cols>
  <sheetData>
    <row r="1" spans="1:12" ht="15.75" customHeight="1">
      <c r="A1" s="35" t="s">
        <v>359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>
      <c r="A2" s="36" t="s">
        <v>1</v>
      </c>
      <c r="B2" s="36" t="s">
        <v>34</v>
      </c>
      <c r="C2" s="38" t="s">
        <v>3</v>
      </c>
      <c r="D2" s="38"/>
      <c r="E2" s="36" t="s">
        <v>4</v>
      </c>
      <c r="F2" s="36"/>
      <c r="G2" s="36"/>
      <c r="H2" s="36"/>
      <c r="I2" s="36"/>
      <c r="J2" s="36"/>
      <c r="K2" s="36" t="s">
        <v>35</v>
      </c>
      <c r="L2" s="36" t="s">
        <v>36</v>
      </c>
    </row>
    <row r="3" spans="1:12" ht="38.25" customHeight="1">
      <c r="A3" s="36"/>
      <c r="B3" s="36"/>
      <c r="C3" s="38"/>
      <c r="D3" s="38"/>
      <c r="E3" s="38" t="s">
        <v>5</v>
      </c>
      <c r="F3" s="38"/>
      <c r="G3" s="39" t="s">
        <v>6</v>
      </c>
      <c r="H3" s="39" t="s">
        <v>7</v>
      </c>
      <c r="I3" s="39" t="s">
        <v>8</v>
      </c>
      <c r="J3" s="39" t="s">
        <v>9</v>
      </c>
      <c r="K3" s="36"/>
      <c r="L3" s="36"/>
    </row>
    <row r="4" spans="1:12" ht="15" customHeight="1">
      <c r="A4" s="36"/>
      <c r="B4" s="36"/>
      <c r="C4" s="36" t="s">
        <v>37</v>
      </c>
      <c r="D4" s="36" t="s">
        <v>11</v>
      </c>
      <c r="E4" s="36" t="s">
        <v>38</v>
      </c>
      <c r="F4" s="36"/>
      <c r="G4" s="36" t="s">
        <v>37</v>
      </c>
      <c r="H4" s="36" t="s">
        <v>37</v>
      </c>
      <c r="I4" s="36" t="s">
        <v>37</v>
      </c>
      <c r="J4" s="36" t="s">
        <v>37</v>
      </c>
      <c r="K4" s="36"/>
      <c r="L4" s="36"/>
    </row>
    <row r="5" spans="1:12" ht="15" customHeight="1">
      <c r="A5" s="36"/>
      <c r="B5" s="36"/>
      <c r="C5" s="36"/>
      <c r="D5" s="36"/>
      <c r="E5" s="36" t="s">
        <v>37</v>
      </c>
      <c r="F5" s="36" t="s">
        <v>11</v>
      </c>
      <c r="G5" s="36"/>
      <c r="H5" s="36"/>
      <c r="I5" s="36"/>
      <c r="J5" s="36"/>
      <c r="K5" s="38" t="s">
        <v>43</v>
      </c>
      <c r="L5" s="36"/>
    </row>
    <row r="6" spans="1:12" ht="15" customHeight="1">
      <c r="A6" s="132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>
        <v>9</v>
      </c>
      <c r="J6" s="132">
        <v>10</v>
      </c>
      <c r="K6" s="132">
        <v>11</v>
      </c>
      <c r="L6" s="132">
        <v>12</v>
      </c>
    </row>
    <row r="7" spans="1:12" ht="38.25" customHeight="1">
      <c r="A7" s="37" t="s">
        <v>360</v>
      </c>
      <c r="B7" s="192" t="s">
        <v>361</v>
      </c>
      <c r="C7" s="41">
        <f>SUM(E7,G7:J7)</f>
        <v>4938.4</v>
      </c>
      <c r="D7" s="42">
        <f>IF(C23=0,0,C7/C23)</f>
        <v>0.3086307105805887</v>
      </c>
      <c r="E7" s="41">
        <f>SUM(E8:E11)</f>
        <v>987.68</v>
      </c>
      <c r="F7" s="42">
        <f>IF(E23=0,0,E7/E23)</f>
        <v>0.3086307105805888</v>
      </c>
      <c r="G7" s="41">
        <f>SUM(G8:G11)</f>
        <v>987.68</v>
      </c>
      <c r="H7" s="41">
        <f>SUM(H8:H11)</f>
        <v>987.68</v>
      </c>
      <c r="I7" s="41">
        <f>SUM(I8:I11)</f>
        <v>987.68</v>
      </c>
      <c r="J7" s="41">
        <f>SUM(J8:J11)</f>
        <v>987.68</v>
      </c>
      <c r="K7" s="43"/>
      <c r="L7" s="37"/>
    </row>
    <row r="8" spans="1:12" ht="30" customHeight="1">
      <c r="A8" s="37" t="s">
        <v>362</v>
      </c>
      <c r="B8" s="37" t="s">
        <v>363</v>
      </c>
      <c r="C8" s="41">
        <f>SUM(E8,G8:J8)</f>
        <v>3315.25</v>
      </c>
      <c r="D8" s="42">
        <f>IF(C7=0,0,C8/C7)</f>
        <v>0.6713206706625628</v>
      </c>
      <c r="E8" s="193">
        <v>663.05</v>
      </c>
      <c r="F8" s="42">
        <f>IF(E7=0,0,E8/E7)</f>
        <v>0.6713206706625627</v>
      </c>
      <c r="G8" s="193">
        <f>E8</f>
        <v>663.05</v>
      </c>
      <c r="H8" s="193">
        <f>E8</f>
        <v>663.05</v>
      </c>
      <c r="I8" s="193">
        <f>E8</f>
        <v>663.05</v>
      </c>
      <c r="J8" s="193">
        <f>E8</f>
        <v>663.05</v>
      </c>
      <c r="K8" s="43">
        <v>136</v>
      </c>
      <c r="L8" s="37"/>
    </row>
    <row r="9" spans="1:12" ht="25.5" customHeight="1">
      <c r="A9" s="37" t="s">
        <v>364</v>
      </c>
      <c r="B9" s="37" t="s">
        <v>365</v>
      </c>
      <c r="C9" s="41">
        <f>SUM(E9,G9:J9)</f>
        <v>0</v>
      </c>
      <c r="D9" s="42">
        <f>IF(C7=0,0,C9/C7)</f>
        <v>0</v>
      </c>
      <c r="E9" s="46">
        <v>0</v>
      </c>
      <c r="F9" s="42">
        <f>IF(E7=0,0,E9/E7)</f>
        <v>0</v>
      </c>
      <c r="G9" s="193">
        <f>E9</f>
        <v>0</v>
      </c>
      <c r="H9" s="193">
        <f>E9</f>
        <v>0</v>
      </c>
      <c r="I9" s="193">
        <f>E9</f>
        <v>0</v>
      </c>
      <c r="J9" s="193">
        <f>E9</f>
        <v>0</v>
      </c>
      <c r="K9" s="43"/>
      <c r="L9" s="37"/>
    </row>
    <row r="10" spans="1:12" ht="26.25" customHeight="1">
      <c r="A10" s="37" t="s">
        <v>366</v>
      </c>
      <c r="B10" s="37" t="s">
        <v>367</v>
      </c>
      <c r="C10" s="41">
        <f>SUM(E10,G10:J10)</f>
        <v>0</v>
      </c>
      <c r="D10" s="42">
        <f>IF(C7=0,0,C10/C7)</f>
        <v>0</v>
      </c>
      <c r="E10" s="46">
        <v>0</v>
      </c>
      <c r="F10" s="42">
        <f>IF(E7=0,0,E10/E7)</f>
        <v>0</v>
      </c>
      <c r="G10" s="193">
        <f>E10</f>
        <v>0</v>
      </c>
      <c r="H10" s="193">
        <f>E10</f>
        <v>0</v>
      </c>
      <c r="I10" s="193">
        <f>E10</f>
        <v>0</v>
      </c>
      <c r="J10" s="193">
        <f>E10</f>
        <v>0</v>
      </c>
      <c r="K10" s="43"/>
      <c r="L10" s="37"/>
    </row>
    <row r="11" spans="1:12" ht="15.75" customHeight="1">
      <c r="A11" s="37" t="s">
        <v>368</v>
      </c>
      <c r="B11" s="37" t="s">
        <v>369</v>
      </c>
      <c r="C11" s="41">
        <f>SUM(E11,G11:J11)</f>
        <v>1623.15</v>
      </c>
      <c r="D11" s="42">
        <f>IF(C7=0,0,C11/C7)</f>
        <v>0.32867932933743726</v>
      </c>
      <c r="E11" s="46">
        <f>70.65+83.16+170.82</f>
        <v>324.63</v>
      </c>
      <c r="F11" s="42">
        <f>IF(E7=0,0,E11/E7)</f>
        <v>0.32867932933743726</v>
      </c>
      <c r="G11" s="193">
        <f>E11</f>
        <v>324.63</v>
      </c>
      <c r="H11" s="193">
        <f>E11</f>
        <v>324.63</v>
      </c>
      <c r="I11" s="193">
        <f>E11</f>
        <v>324.63</v>
      </c>
      <c r="J11" s="193">
        <f>E11</f>
        <v>324.63</v>
      </c>
      <c r="K11" s="43">
        <v>137</v>
      </c>
      <c r="L11" s="43"/>
    </row>
    <row r="12" spans="1:12" ht="25.5" customHeight="1">
      <c r="A12" s="37" t="s">
        <v>370</v>
      </c>
      <c r="B12" s="192" t="s">
        <v>371</v>
      </c>
      <c r="C12" s="41">
        <f>SUM(E12,G12:J12)</f>
        <v>8545.199999999999</v>
      </c>
      <c r="D12" s="42">
        <f>IF(C23=0,0,C12/C23)</f>
        <v>0.5340416223986001</v>
      </c>
      <c r="E12" s="41">
        <f>231.87+32.52+1230+199.05+15.6</f>
        <v>1709.0399999999997</v>
      </c>
      <c r="F12" s="42">
        <f>IF(E23=0,0,E12/E23)</f>
        <v>0.5340416223986001</v>
      </c>
      <c r="G12" s="193">
        <f>E12</f>
        <v>1709.0399999999997</v>
      </c>
      <c r="H12" s="193">
        <f>E12</f>
        <v>1709.0399999999997</v>
      </c>
      <c r="I12" s="193">
        <f>E12</f>
        <v>1709.0399999999997</v>
      </c>
      <c r="J12" s="193">
        <f>E12</f>
        <v>1709.0399999999997</v>
      </c>
      <c r="K12" s="43"/>
      <c r="L12" s="43"/>
    </row>
    <row r="13" spans="1:12" ht="15" customHeight="1">
      <c r="A13" s="37" t="s">
        <v>372</v>
      </c>
      <c r="B13" s="37" t="s">
        <v>373</v>
      </c>
      <c r="C13" s="41">
        <f>SUM(E13,G13:J13)</f>
        <v>0</v>
      </c>
      <c r="D13" s="42">
        <f>IF(C12=0,0,C13/C12)</f>
        <v>0</v>
      </c>
      <c r="E13" s="46">
        <v>0</v>
      </c>
      <c r="F13" s="42">
        <f>IF(E12=0,0,E13/E12)</f>
        <v>0</v>
      </c>
      <c r="G13" s="193">
        <f>E13</f>
        <v>0</v>
      </c>
      <c r="H13" s="193">
        <f>E13</f>
        <v>0</v>
      </c>
      <c r="I13" s="193">
        <f>E13</f>
        <v>0</v>
      </c>
      <c r="J13" s="193">
        <f>E13</f>
        <v>0</v>
      </c>
      <c r="K13" s="43"/>
      <c r="L13" s="43"/>
    </row>
    <row r="14" spans="1:12" ht="15" customHeight="1">
      <c r="A14" s="37" t="s">
        <v>374</v>
      </c>
      <c r="B14" s="37" t="s">
        <v>375</v>
      </c>
      <c r="C14" s="41">
        <f>SUM(E14,G14:J14)</f>
        <v>0</v>
      </c>
      <c r="D14" s="42">
        <f>IF(C12=0,0,C14/C12)</f>
        <v>0</v>
      </c>
      <c r="E14" s="46">
        <v>0</v>
      </c>
      <c r="F14" s="42">
        <f>IF(E12=0,0,E14/E12)</f>
        <v>0</v>
      </c>
      <c r="G14" s="193">
        <f>E14</f>
        <v>0</v>
      </c>
      <c r="H14" s="193">
        <f>E14</f>
        <v>0</v>
      </c>
      <c r="I14" s="193">
        <f>E14</f>
        <v>0</v>
      </c>
      <c r="J14" s="193">
        <f>E14</f>
        <v>0</v>
      </c>
      <c r="K14" s="43"/>
      <c r="L14" s="43"/>
    </row>
    <row r="15" spans="1:12" ht="15" customHeight="1">
      <c r="A15" s="37" t="s">
        <v>376</v>
      </c>
      <c r="B15" s="37" t="s">
        <v>377</v>
      </c>
      <c r="C15" s="41">
        <f>SUM(E15,G15:J15)</f>
        <v>0</v>
      </c>
      <c r="D15" s="42">
        <f>IF(C12=0,0,C15/C12)</f>
        <v>0</v>
      </c>
      <c r="E15" s="46">
        <v>0</v>
      </c>
      <c r="F15" s="42">
        <f>IF(E12=0,0,E15/E12)</f>
        <v>0</v>
      </c>
      <c r="G15" s="193">
        <f>E15</f>
        <v>0</v>
      </c>
      <c r="H15" s="193">
        <f>E15</f>
        <v>0</v>
      </c>
      <c r="I15" s="193">
        <f>E15</f>
        <v>0</v>
      </c>
      <c r="J15" s="193">
        <f>E15</f>
        <v>0</v>
      </c>
      <c r="K15" s="43"/>
      <c r="L15" s="43"/>
    </row>
    <row r="16" spans="1:12" ht="15" customHeight="1">
      <c r="A16" s="37" t="s">
        <v>378</v>
      </c>
      <c r="B16" s="37" t="s">
        <v>379</v>
      </c>
      <c r="C16" s="41">
        <f>SUM(E16,G16:J16)</f>
        <v>0</v>
      </c>
      <c r="D16" s="42">
        <f>IF(C12=0,0,C16/C12)</f>
        <v>0</v>
      </c>
      <c r="E16" s="46">
        <v>0</v>
      </c>
      <c r="F16" s="42">
        <f>IF(E12=0,0,E16/E12)</f>
        <v>0</v>
      </c>
      <c r="G16" s="193">
        <f>E16</f>
        <v>0</v>
      </c>
      <c r="H16" s="193">
        <f>E16</f>
        <v>0</v>
      </c>
      <c r="I16" s="193">
        <f>E16</f>
        <v>0</v>
      </c>
      <c r="J16" s="193">
        <f>E16</f>
        <v>0</v>
      </c>
      <c r="K16" s="43"/>
      <c r="L16" s="43"/>
    </row>
    <row r="17" spans="1:12" ht="15.75" customHeight="1">
      <c r="A17" s="37" t="s">
        <v>380</v>
      </c>
      <c r="B17" s="37" t="s">
        <v>381</v>
      </c>
      <c r="C17" s="41">
        <f>SUM(E17,G17:J17)</f>
        <v>8545.199999999999</v>
      </c>
      <c r="D17" s="42">
        <f>IF(C12=0,0,C17/C12)</f>
        <v>1</v>
      </c>
      <c r="E17" s="46">
        <f>231.87+32.52+1230+199.05+15.6</f>
        <v>1709.0399999999997</v>
      </c>
      <c r="F17" s="42">
        <f>IF(E12=0,0,E17/E12)</f>
        <v>1</v>
      </c>
      <c r="G17" s="193">
        <f>E17</f>
        <v>1709.0399999999997</v>
      </c>
      <c r="H17" s="193">
        <f>E17</f>
        <v>1709.0399999999997</v>
      </c>
      <c r="I17" s="193">
        <f>E17</f>
        <v>1709.0399999999997</v>
      </c>
      <c r="J17" s="193">
        <f>E17</f>
        <v>1709.0399999999997</v>
      </c>
      <c r="K17" s="43" t="s">
        <v>382</v>
      </c>
      <c r="L17" s="43"/>
    </row>
    <row r="18" spans="1:12" ht="38.25" customHeight="1">
      <c r="A18" s="37" t="s">
        <v>383</v>
      </c>
      <c r="B18" s="192" t="s">
        <v>384</v>
      </c>
      <c r="C18" s="41">
        <f>SUM(E18,G18:J18)</f>
        <v>0</v>
      </c>
      <c r="D18" s="42">
        <f>IF(C23=0,0,C18/C23)</f>
        <v>0</v>
      </c>
      <c r="E18" s="41">
        <f>SUM(E19:E21)</f>
        <v>0</v>
      </c>
      <c r="F18" s="42">
        <f>IF(E23=0,0,E18/E23)</f>
        <v>0</v>
      </c>
      <c r="G18" s="193">
        <f>E18</f>
        <v>0</v>
      </c>
      <c r="H18" s="193">
        <f>E18</f>
        <v>0</v>
      </c>
      <c r="I18" s="193">
        <f>E18</f>
        <v>0</v>
      </c>
      <c r="J18" s="193">
        <f>E18</f>
        <v>0</v>
      </c>
      <c r="K18" s="43"/>
      <c r="L18" s="43"/>
    </row>
    <row r="19" spans="1:12" ht="15" customHeight="1">
      <c r="A19" s="37" t="s">
        <v>385</v>
      </c>
      <c r="B19" s="37" t="s">
        <v>386</v>
      </c>
      <c r="C19" s="41">
        <f>SUM(E19,G19:J19)</f>
        <v>0</v>
      </c>
      <c r="D19" s="42">
        <f>IF(C18=0,0,C19/C18)</f>
        <v>0</v>
      </c>
      <c r="E19" s="46">
        <v>0</v>
      </c>
      <c r="F19" s="42">
        <f>IF(E18=0,0,E19/E18)</f>
        <v>0</v>
      </c>
      <c r="G19" s="193">
        <f>E19</f>
        <v>0</v>
      </c>
      <c r="H19" s="193">
        <f>E19</f>
        <v>0</v>
      </c>
      <c r="I19" s="193">
        <f>E19</f>
        <v>0</v>
      </c>
      <c r="J19" s="193">
        <f>E19</f>
        <v>0</v>
      </c>
      <c r="K19" s="43"/>
      <c r="L19" s="43"/>
    </row>
    <row r="20" spans="1:12" ht="25.5" customHeight="1">
      <c r="A20" s="37" t="s">
        <v>387</v>
      </c>
      <c r="B20" s="37" t="s">
        <v>388</v>
      </c>
      <c r="C20" s="41">
        <f>SUM(E20,G20:J20)</f>
        <v>0</v>
      </c>
      <c r="D20" s="42">
        <f>IF(C18=0,0,C20/C18)</f>
        <v>0</v>
      </c>
      <c r="E20" s="46">
        <v>0</v>
      </c>
      <c r="F20" s="42">
        <f>IF(E18=0,0,E20/E18)</f>
        <v>0</v>
      </c>
      <c r="G20" s="193">
        <f>E20</f>
        <v>0</v>
      </c>
      <c r="H20" s="193">
        <f>E20</f>
        <v>0</v>
      </c>
      <c r="I20" s="193">
        <f>E20</f>
        <v>0</v>
      </c>
      <c r="J20" s="193">
        <f>E20</f>
        <v>0</v>
      </c>
      <c r="K20" s="43"/>
      <c r="L20" s="43"/>
    </row>
    <row r="21" spans="1:12" ht="25.5" customHeight="1">
      <c r="A21" s="37" t="s">
        <v>389</v>
      </c>
      <c r="B21" s="37" t="s">
        <v>390</v>
      </c>
      <c r="C21" s="41">
        <f>SUM(E21,G21:J21)</f>
        <v>0</v>
      </c>
      <c r="D21" s="42">
        <f>IF(C18=0,0,C21/C18)</f>
        <v>0</v>
      </c>
      <c r="E21" s="46">
        <v>0</v>
      </c>
      <c r="F21" s="42">
        <f>IF(E18=0,0,E21/E18)</f>
        <v>0</v>
      </c>
      <c r="G21" s="193">
        <f>E21</f>
        <v>0</v>
      </c>
      <c r="H21" s="193">
        <f>E21</f>
        <v>0</v>
      </c>
      <c r="I21" s="193">
        <f>E21</f>
        <v>0</v>
      </c>
      <c r="J21" s="193">
        <f>E21</f>
        <v>0</v>
      </c>
      <c r="K21" s="43"/>
      <c r="L21" s="43"/>
    </row>
    <row r="22" spans="1:12" ht="15" customHeight="1">
      <c r="A22" s="37" t="s">
        <v>391</v>
      </c>
      <c r="B22" s="192" t="s">
        <v>25</v>
      </c>
      <c r="C22" s="41">
        <f>SUM(E22,G22:J22)</f>
        <v>2517.4</v>
      </c>
      <c r="D22" s="42">
        <f>IF(C23=0,0,C22/C23)</f>
        <v>0.15732766702081122</v>
      </c>
      <c r="E22" s="46">
        <f>150+201.94+151.54</f>
        <v>503.48</v>
      </c>
      <c r="F22" s="42">
        <f>IF(E23=0,0,E22/E23)</f>
        <v>0.15732766702081125</v>
      </c>
      <c r="G22" s="193">
        <f>E22</f>
        <v>503.48</v>
      </c>
      <c r="H22" s="193">
        <f>E22</f>
        <v>503.48</v>
      </c>
      <c r="I22" s="193">
        <f>E22</f>
        <v>503.48</v>
      </c>
      <c r="J22" s="193">
        <f>E22</f>
        <v>503.48</v>
      </c>
      <c r="K22" s="43" t="s">
        <v>392</v>
      </c>
      <c r="L22" s="43"/>
    </row>
    <row r="23" spans="1:12" ht="15" customHeight="1">
      <c r="A23" s="37"/>
      <c r="B23" s="37" t="s">
        <v>26</v>
      </c>
      <c r="C23" s="41">
        <f>SUM(C22,C18,C12,C7)</f>
        <v>16000.999999999998</v>
      </c>
      <c r="D23" s="42">
        <f>SUM(D22,D18,D12,D7)</f>
        <v>1</v>
      </c>
      <c r="E23" s="41">
        <f>SUM(E22,E18,E12,E7)</f>
        <v>3200.1999999999994</v>
      </c>
      <c r="F23" s="42">
        <f>SUM(F22,F18,F12,F7)</f>
        <v>1</v>
      </c>
      <c r="G23" s="193">
        <f>E23</f>
        <v>3200.1999999999994</v>
      </c>
      <c r="H23" s="193">
        <f>E23</f>
        <v>3200.1999999999994</v>
      </c>
      <c r="I23" s="193">
        <f>E23</f>
        <v>3200.1999999999994</v>
      </c>
      <c r="J23" s="193">
        <f>E23</f>
        <v>3200.1999999999994</v>
      </c>
      <c r="K23" s="43"/>
      <c r="L23" s="43"/>
    </row>
  </sheetData>
  <sheetProtection selectLockedCells="1" selectUnlockedCells="1"/>
  <mergeCells count="15">
    <mergeCell ref="A1:L1"/>
    <mergeCell ref="A2:A5"/>
    <mergeCell ref="B2:B5"/>
    <mergeCell ref="C2:D3"/>
    <mergeCell ref="E2:J2"/>
    <mergeCell ref="K2:K4"/>
    <mergeCell ref="L2:L5"/>
    <mergeCell ref="E3:F3"/>
    <mergeCell ref="C4:C5"/>
    <mergeCell ref="D4:D5"/>
    <mergeCell ref="E4:F4"/>
    <mergeCell ref="G4:G5"/>
    <mergeCell ref="H4:H5"/>
    <mergeCell ref="I4:I5"/>
    <mergeCell ref="J4:J5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4"/>
  <sheetViews>
    <sheetView view="pageBreakPreview" zoomScaleNormal="52" zoomScaleSheetLayoutView="100" workbookViewId="0" topLeftCell="A1">
      <selection activeCell="M13" sqref="M13"/>
    </sheetView>
  </sheetViews>
  <sheetFormatPr defaultColWidth="10.28125" defaultRowHeight="15" customHeight="1"/>
  <cols>
    <col min="1" max="1" width="10.421875" style="0" customWidth="1"/>
    <col min="2" max="2" width="8.57421875" style="0" customWidth="1"/>
    <col min="3" max="3" width="19.8515625" style="0" customWidth="1"/>
    <col min="4" max="4" width="14.140625" style="0" customWidth="1"/>
    <col min="5" max="5" width="12.57421875" style="0" customWidth="1"/>
    <col min="6" max="6" width="16.57421875" style="0" customWidth="1"/>
    <col min="7" max="7" width="18.421875" style="0" customWidth="1"/>
    <col min="8" max="8" width="14.57421875" style="0" customWidth="1"/>
    <col min="9" max="9" width="12.421875" style="0" customWidth="1"/>
    <col min="10" max="11" width="11.7109375" style="0" customWidth="1"/>
    <col min="12" max="12" width="15.00390625" style="0" customWidth="1"/>
    <col min="13" max="13" width="15.8515625" style="0" customWidth="1"/>
    <col min="14" max="14" width="19.140625" style="0" customWidth="1"/>
    <col min="15" max="16384" width="10.421875" style="0" customWidth="1"/>
  </cols>
  <sheetData>
    <row r="1" spans="1:14" ht="15.75" customHeight="1">
      <c r="A1" s="194" t="s">
        <v>393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" customHeight="1">
      <c r="A2" s="36" t="s">
        <v>1</v>
      </c>
      <c r="B2" s="36" t="s">
        <v>34</v>
      </c>
      <c r="C2" s="36"/>
      <c r="D2" s="38" t="s">
        <v>3</v>
      </c>
      <c r="E2" s="38"/>
      <c r="F2" s="195" t="s">
        <v>4</v>
      </c>
      <c r="G2" s="195"/>
      <c r="H2" s="195"/>
      <c r="I2" s="195"/>
      <c r="J2" s="195"/>
      <c r="K2" s="195"/>
      <c r="L2" s="195"/>
      <c r="M2" s="36" t="s">
        <v>35</v>
      </c>
      <c r="N2" s="36" t="s">
        <v>36</v>
      </c>
    </row>
    <row r="3" spans="1:14" ht="50.25" customHeight="1">
      <c r="A3" s="36"/>
      <c r="B3" s="36"/>
      <c r="C3" s="36"/>
      <c r="D3" s="38"/>
      <c r="E3" s="38"/>
      <c r="F3" s="39" t="s">
        <v>5</v>
      </c>
      <c r="G3" s="39"/>
      <c r="H3" s="39"/>
      <c r="I3" s="39" t="s">
        <v>6</v>
      </c>
      <c r="J3" s="39" t="s">
        <v>7</v>
      </c>
      <c r="K3" s="39" t="s">
        <v>8</v>
      </c>
      <c r="L3" s="39" t="s">
        <v>9</v>
      </c>
      <c r="M3" s="36"/>
      <c r="N3" s="36"/>
    </row>
    <row r="4" spans="1:14" ht="19.5" customHeight="1">
      <c r="A4" s="36"/>
      <c r="B4" s="36"/>
      <c r="C4" s="36"/>
      <c r="D4" s="36" t="s">
        <v>37</v>
      </c>
      <c r="E4" s="36" t="s">
        <v>11</v>
      </c>
      <c r="F4" s="36" t="s">
        <v>38</v>
      </c>
      <c r="G4" s="36"/>
      <c r="H4" s="36" t="s">
        <v>394</v>
      </c>
      <c r="I4" s="36" t="s">
        <v>37</v>
      </c>
      <c r="J4" s="36" t="s">
        <v>37</v>
      </c>
      <c r="K4" s="36" t="s">
        <v>37</v>
      </c>
      <c r="L4" s="195" t="s">
        <v>37</v>
      </c>
      <c r="M4" s="36"/>
      <c r="N4" s="36"/>
    </row>
    <row r="5" spans="1:14" ht="33" customHeight="1">
      <c r="A5" s="36"/>
      <c r="B5" s="36"/>
      <c r="C5" s="36"/>
      <c r="D5" s="36"/>
      <c r="E5" s="36"/>
      <c r="F5" s="36" t="s">
        <v>37</v>
      </c>
      <c r="G5" s="36" t="s">
        <v>11</v>
      </c>
      <c r="H5" s="36"/>
      <c r="I5" s="36"/>
      <c r="J5" s="36"/>
      <c r="K5" s="36"/>
      <c r="L5" s="195"/>
      <c r="M5" s="38" t="s">
        <v>43</v>
      </c>
      <c r="N5" s="36"/>
    </row>
    <row r="6" spans="1:14" ht="15" customHeight="1">
      <c r="A6" s="132">
        <v>1</v>
      </c>
      <c r="B6" s="132">
        <v>2</v>
      </c>
      <c r="C6" s="132"/>
      <c r="D6" s="132">
        <v>3</v>
      </c>
      <c r="E6" s="132">
        <v>4</v>
      </c>
      <c r="F6" s="132">
        <v>5</v>
      </c>
      <c r="G6" s="132">
        <v>6</v>
      </c>
      <c r="H6" s="196">
        <v>7</v>
      </c>
      <c r="I6" s="132">
        <v>8</v>
      </c>
      <c r="J6" s="132">
        <v>9</v>
      </c>
      <c r="K6" s="132">
        <v>10</v>
      </c>
      <c r="L6" s="197">
        <v>11</v>
      </c>
      <c r="M6" s="132">
        <v>12</v>
      </c>
      <c r="N6" s="132">
        <v>13</v>
      </c>
    </row>
    <row r="7" spans="1:14" ht="31.5" customHeight="1">
      <c r="A7" s="37" t="s">
        <v>395</v>
      </c>
      <c r="B7" s="192" t="s">
        <v>396</v>
      </c>
      <c r="C7" s="192"/>
      <c r="D7" s="41">
        <f>SUM(F7,I7:L7)</f>
        <v>4289.3</v>
      </c>
      <c r="E7" s="42">
        <f>IF(D14=0,0,D7/D14)</f>
        <v>0.7687055323572107</v>
      </c>
      <c r="F7" s="41">
        <f>SUM(F8:F11)</f>
        <v>857.86</v>
      </c>
      <c r="G7" s="42">
        <f>IF(F14=0,0,F7/F14)</f>
        <v>0.7687055323572107</v>
      </c>
      <c r="H7" s="198"/>
      <c r="I7" s="41">
        <f>SUM(I8:I11)</f>
        <v>857.86</v>
      </c>
      <c r="J7" s="41">
        <f>SUM(J8:J11)</f>
        <v>857.86</v>
      </c>
      <c r="K7" s="41">
        <f>SUM(K8:K11)</f>
        <v>857.86</v>
      </c>
      <c r="L7" s="41">
        <f>SUM(L8:L11)</f>
        <v>857.86</v>
      </c>
      <c r="M7" s="199"/>
      <c r="N7" s="199"/>
    </row>
    <row r="8" spans="1:14" ht="31.5" customHeight="1">
      <c r="A8" s="37" t="s">
        <v>397</v>
      </c>
      <c r="B8" s="37" t="s">
        <v>398</v>
      </c>
      <c r="C8" s="37"/>
      <c r="D8" s="41">
        <f>SUM(F8,I8:L8)</f>
        <v>0</v>
      </c>
      <c r="E8" s="42">
        <f>IF(D7=0,0,D8/D7)</f>
        <v>0</v>
      </c>
      <c r="F8" s="200">
        <v>0</v>
      </c>
      <c r="G8" s="42">
        <f>IF(F7=0,0,F8/F7)</f>
        <v>0</v>
      </c>
      <c r="H8" s="200" t="s">
        <v>233</v>
      </c>
      <c r="I8" s="200">
        <v>0</v>
      </c>
      <c r="J8" s="200">
        <v>0</v>
      </c>
      <c r="K8" s="200">
        <v>0</v>
      </c>
      <c r="L8" s="200">
        <v>0</v>
      </c>
      <c r="M8" s="199"/>
      <c r="N8" s="199"/>
    </row>
    <row r="9" spans="1:14" ht="31.5" customHeight="1">
      <c r="A9" s="37" t="s">
        <v>399</v>
      </c>
      <c r="B9" s="37" t="s">
        <v>400</v>
      </c>
      <c r="C9" s="37"/>
      <c r="D9" s="41">
        <f>SUM(F9,I9:L9)</f>
        <v>0</v>
      </c>
      <c r="E9" s="42">
        <f>IF(D7=0,0,D9/D7)</f>
        <v>0</v>
      </c>
      <c r="F9" s="200">
        <v>0</v>
      </c>
      <c r="G9" s="42">
        <f>IF(F7=0,0,F9/F7)</f>
        <v>0</v>
      </c>
      <c r="H9" s="200" t="s">
        <v>233</v>
      </c>
      <c r="I9" s="200">
        <v>0</v>
      </c>
      <c r="J9" s="200">
        <v>0</v>
      </c>
      <c r="K9" s="200">
        <v>0</v>
      </c>
      <c r="L9" s="200">
        <v>0</v>
      </c>
      <c r="M9" s="199"/>
      <c r="N9" s="199"/>
    </row>
    <row r="10" spans="1:14" ht="42.75" customHeight="1">
      <c r="A10" s="201" t="s">
        <v>401</v>
      </c>
      <c r="B10" s="201" t="s">
        <v>402</v>
      </c>
      <c r="C10" s="201"/>
      <c r="D10" s="41">
        <f>SUM(F10,I10:L10)</f>
        <v>4289.3</v>
      </c>
      <c r="E10" s="42">
        <f>IF(D6=0,0,D10/D14)</f>
        <v>0.7687055323572107</v>
      </c>
      <c r="F10" s="202">
        <f>392.36+396.1+69.4</f>
        <v>857.86</v>
      </c>
      <c r="G10" s="42">
        <f>IF(F6=0,0,F10/F14)</f>
        <v>0.7687055323572107</v>
      </c>
      <c r="H10" s="202"/>
      <c r="I10" s="202">
        <f>392.36+396.1+69.4</f>
        <v>857.86</v>
      </c>
      <c r="J10" s="202">
        <f>392.36+396.1+69.4</f>
        <v>857.86</v>
      </c>
      <c r="K10" s="202">
        <f>392.36+396.1+69.4</f>
        <v>857.86</v>
      </c>
      <c r="L10" s="202">
        <f>392.36+396.1+69.4</f>
        <v>857.86</v>
      </c>
      <c r="M10" s="199">
        <v>154</v>
      </c>
      <c r="N10" s="199"/>
    </row>
    <row r="11" spans="1:14" ht="37.5" customHeight="1">
      <c r="A11" s="37" t="s">
        <v>403</v>
      </c>
      <c r="B11" s="37" t="s">
        <v>404</v>
      </c>
      <c r="C11" s="37"/>
      <c r="D11" s="41">
        <f>SUM(F11,I11:L11)</f>
        <v>0</v>
      </c>
      <c r="E11" s="42">
        <f>IF(D6=0,0,D11/D14)</f>
        <v>0</v>
      </c>
      <c r="F11" s="202">
        <v>0</v>
      </c>
      <c r="G11" s="42">
        <f>IF(F6=0,0,F11/F14)</f>
        <v>0</v>
      </c>
      <c r="H11" s="202"/>
      <c r="I11" s="202">
        <v>0</v>
      </c>
      <c r="J11" s="202">
        <v>0</v>
      </c>
      <c r="K11" s="202">
        <v>0</v>
      </c>
      <c r="L11" s="202">
        <v>0</v>
      </c>
      <c r="M11" s="199"/>
      <c r="N11" s="199"/>
    </row>
    <row r="12" spans="1:14" ht="31.5" customHeight="1">
      <c r="A12" s="37" t="s">
        <v>405</v>
      </c>
      <c r="B12" s="192" t="s">
        <v>406</v>
      </c>
      <c r="C12" s="192"/>
      <c r="D12" s="41">
        <f>SUM(F12,I12:L12)</f>
        <v>0</v>
      </c>
      <c r="E12" s="42">
        <f>IF(D14=0,0,D12/D14)</f>
        <v>0</v>
      </c>
      <c r="F12" s="200">
        <v>0</v>
      </c>
      <c r="G12" s="42">
        <f>IF(F14=0,0,F12/F14)</f>
        <v>0</v>
      </c>
      <c r="H12" s="200" t="s">
        <v>233</v>
      </c>
      <c r="I12" s="200">
        <v>0</v>
      </c>
      <c r="J12" s="200">
        <v>0</v>
      </c>
      <c r="K12" s="200">
        <v>0</v>
      </c>
      <c r="L12" s="200">
        <v>0</v>
      </c>
      <c r="M12" s="199"/>
      <c r="N12" s="199"/>
    </row>
    <row r="13" spans="1:14" ht="31.5" customHeight="1">
      <c r="A13" s="37" t="s">
        <v>407</v>
      </c>
      <c r="B13" s="192" t="s">
        <v>25</v>
      </c>
      <c r="C13" s="192"/>
      <c r="D13" s="41">
        <f>SUM(F13,I13:L13)</f>
        <v>1290.6</v>
      </c>
      <c r="E13" s="42">
        <f>IF(D14=0,0,D13/D14)</f>
        <v>0.2312944676427893</v>
      </c>
      <c r="F13" s="200">
        <v>258.12</v>
      </c>
      <c r="G13" s="42">
        <f>IF(F14=0,0,F13/F14)</f>
        <v>0.2312944676427893</v>
      </c>
      <c r="H13" s="200" t="s">
        <v>233</v>
      </c>
      <c r="I13" s="200">
        <v>258.12</v>
      </c>
      <c r="J13" s="200">
        <v>258.12</v>
      </c>
      <c r="K13" s="200">
        <v>258.12</v>
      </c>
      <c r="L13" s="200">
        <v>258.12</v>
      </c>
      <c r="M13" s="199">
        <v>159</v>
      </c>
      <c r="N13" s="199"/>
    </row>
    <row r="14" spans="1:14" ht="31.5" customHeight="1">
      <c r="A14" s="36"/>
      <c r="B14" s="203" t="s">
        <v>408</v>
      </c>
      <c r="C14" s="203"/>
      <c r="D14" s="204">
        <f>SUM(D7,D12,D13)</f>
        <v>5579.9</v>
      </c>
      <c r="E14" s="205">
        <f>SUM(E7,E12,E13)</f>
        <v>1</v>
      </c>
      <c r="F14" s="206">
        <f>SUM(F7,F12,F13)</f>
        <v>1115.98</v>
      </c>
      <c r="G14" s="205">
        <f>SUM(G7,G12,G13)</f>
        <v>1</v>
      </c>
      <c r="H14" s="198"/>
      <c r="I14" s="206">
        <f>SUM(I7,I12,I13)</f>
        <v>1115.98</v>
      </c>
      <c r="J14" s="206">
        <f>SUM(J7,J12,J13)</f>
        <v>1115.98</v>
      </c>
      <c r="K14" s="206">
        <f>SUM(K7,K12,K13)</f>
        <v>1115.98</v>
      </c>
      <c r="L14" s="206">
        <f>SUM(L7,L12,L13)</f>
        <v>1115.98</v>
      </c>
      <c r="M14" s="199"/>
      <c r="N14" s="199"/>
    </row>
  </sheetData>
  <sheetProtection selectLockedCells="1" selectUnlockedCells="1"/>
  <mergeCells count="25">
    <mergeCell ref="A1:N1"/>
    <mergeCell ref="A2:A5"/>
    <mergeCell ref="B2:C5"/>
    <mergeCell ref="D2:E3"/>
    <mergeCell ref="F2:L2"/>
    <mergeCell ref="M2:M4"/>
    <mergeCell ref="N2:N5"/>
    <mergeCell ref="F3:H3"/>
    <mergeCell ref="D4:D5"/>
    <mergeCell ref="E4:E5"/>
    <mergeCell ref="F4:G4"/>
    <mergeCell ref="H4:H5"/>
    <mergeCell ref="I4:I5"/>
    <mergeCell ref="J4:J5"/>
    <mergeCell ref="K4:K5"/>
    <mergeCell ref="L4:L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8"/>
  <sheetViews>
    <sheetView view="pageBreakPreview" zoomScaleNormal="74" zoomScaleSheetLayoutView="100" workbookViewId="0" topLeftCell="A1">
      <selection activeCell="A1" sqref="A1"/>
    </sheetView>
  </sheetViews>
  <sheetFormatPr defaultColWidth="10.28125" defaultRowHeight="12.75" customHeight="1"/>
  <cols>
    <col min="1" max="1" width="4.421875" style="207" customWidth="1"/>
    <col min="2" max="2" width="30.8515625" style="62" customWidth="1"/>
    <col min="3" max="3" width="14.421875" style="62" customWidth="1"/>
    <col min="4" max="4" width="22.421875" style="62" customWidth="1"/>
    <col min="5" max="5" width="22.8515625" style="62" customWidth="1"/>
    <col min="6" max="6" width="27.8515625" style="62" customWidth="1"/>
    <col min="7" max="7" width="25.00390625" style="62" customWidth="1"/>
    <col min="8" max="8" width="25.8515625" style="208" customWidth="1"/>
    <col min="9" max="9" width="7.28125" style="62" customWidth="1"/>
    <col min="10" max="11" width="9.57421875" style="62" customWidth="1"/>
    <col min="12" max="12" width="15.57421875" style="62" customWidth="1"/>
    <col min="13" max="13" width="9.8515625" style="62" customWidth="1"/>
    <col min="14" max="16384" width="9.57421875" style="62" customWidth="1"/>
  </cols>
  <sheetData>
    <row r="1" spans="1:8" ht="49.5" customHeight="1">
      <c r="A1" s="209" t="s">
        <v>409</v>
      </c>
      <c r="B1" s="209"/>
      <c r="C1" s="209"/>
      <c r="D1" s="209"/>
      <c r="E1" s="209"/>
      <c r="F1" s="209"/>
      <c r="G1" s="209"/>
      <c r="H1" s="209"/>
    </row>
    <row r="2" spans="1:8" ht="90" customHeight="1">
      <c r="A2" s="145" t="s">
        <v>260</v>
      </c>
      <c r="B2" s="143" t="s">
        <v>261</v>
      </c>
      <c r="C2" s="143" t="s">
        <v>262</v>
      </c>
      <c r="D2" s="143" t="s">
        <v>263</v>
      </c>
      <c r="E2" s="143" t="s">
        <v>410</v>
      </c>
      <c r="F2" s="143" t="s">
        <v>411</v>
      </c>
      <c r="G2" s="143" t="s">
        <v>266</v>
      </c>
      <c r="H2" s="143" t="s">
        <v>267</v>
      </c>
    </row>
    <row r="3" spans="1:8" s="210" customFormat="1" ht="21" customHeight="1">
      <c r="A3" s="145"/>
      <c r="B3" s="143"/>
      <c r="C3" s="143"/>
      <c r="D3" s="149" t="s">
        <v>10</v>
      </c>
      <c r="E3" s="149"/>
      <c r="F3" s="149"/>
      <c r="G3" s="149"/>
      <c r="H3" s="149"/>
    </row>
    <row r="4" spans="1:8" ht="17.25" customHeight="1">
      <c r="A4" s="211">
        <v>1</v>
      </c>
      <c r="B4" s="149">
        <v>2</v>
      </c>
      <c r="C4" s="149">
        <v>4</v>
      </c>
      <c r="D4" s="149">
        <v>5</v>
      </c>
      <c r="E4" s="149">
        <v>6</v>
      </c>
      <c r="F4" s="149">
        <v>7</v>
      </c>
      <c r="G4" s="149">
        <v>8</v>
      </c>
      <c r="H4" s="211" t="s">
        <v>284</v>
      </c>
    </row>
    <row r="5" spans="1:8" ht="15" customHeight="1">
      <c r="A5" s="212">
        <v>1</v>
      </c>
      <c r="B5" s="213" t="s">
        <v>412</v>
      </c>
      <c r="C5" s="213"/>
      <c r="D5" s="213"/>
      <c r="E5" s="213"/>
      <c r="F5" s="213"/>
      <c r="G5" s="213"/>
      <c r="H5" s="213"/>
    </row>
    <row r="6" spans="1:8" ht="58.5" customHeight="1">
      <c r="A6" s="214" t="s">
        <v>413</v>
      </c>
      <c r="B6" s="149" t="s">
        <v>414</v>
      </c>
      <c r="C6" s="215">
        <v>2015</v>
      </c>
      <c r="D6" s="149"/>
      <c r="E6" s="149"/>
      <c r="F6" s="216">
        <f>470.834/1.2</f>
        <v>392.3616666666667</v>
      </c>
      <c r="G6" s="216"/>
      <c r="H6" s="217"/>
    </row>
    <row r="7" spans="1:8" ht="58.5" customHeight="1">
      <c r="A7" s="214" t="s">
        <v>415</v>
      </c>
      <c r="B7" s="149" t="s">
        <v>416</v>
      </c>
      <c r="C7" s="215">
        <v>2015</v>
      </c>
      <c r="D7" s="149"/>
      <c r="E7" s="149"/>
      <c r="F7" s="216">
        <f>475.319/1.2</f>
        <v>396.0991666666667</v>
      </c>
      <c r="G7" s="216"/>
      <c r="H7" s="217"/>
    </row>
    <row r="8" spans="1:8" ht="58.5" customHeight="1">
      <c r="A8" s="214" t="s">
        <v>417</v>
      </c>
      <c r="B8" s="149" t="s">
        <v>418</v>
      </c>
      <c r="C8" s="215">
        <v>2016</v>
      </c>
      <c r="D8" s="149"/>
      <c r="E8" s="149"/>
      <c r="F8" s="218"/>
      <c r="G8" s="219">
        <v>231.5</v>
      </c>
      <c r="H8" s="217"/>
    </row>
    <row r="9" spans="1:8" ht="58.5" customHeight="1">
      <c r="A9" s="214" t="s">
        <v>419</v>
      </c>
      <c r="B9" s="149" t="s">
        <v>420</v>
      </c>
      <c r="C9" s="215">
        <v>2016</v>
      </c>
      <c r="D9" s="149"/>
      <c r="E9" s="149"/>
      <c r="F9" s="218"/>
      <c r="G9" s="219">
        <v>250</v>
      </c>
      <c r="H9" s="217"/>
    </row>
    <row r="10" spans="1:8" ht="58.5" customHeight="1">
      <c r="A10" s="214" t="s">
        <v>421</v>
      </c>
      <c r="B10" s="149" t="s">
        <v>422</v>
      </c>
      <c r="C10" s="215">
        <v>2017</v>
      </c>
      <c r="D10" s="149"/>
      <c r="E10" s="149"/>
      <c r="F10" s="218"/>
      <c r="G10" s="219">
        <v>231.5</v>
      </c>
      <c r="H10" s="217"/>
    </row>
    <row r="11" spans="1:8" ht="58.5" customHeight="1">
      <c r="A11" s="214" t="s">
        <v>423</v>
      </c>
      <c r="B11" s="149" t="s">
        <v>424</v>
      </c>
      <c r="C11" s="215">
        <v>2017</v>
      </c>
      <c r="D11" s="149"/>
      <c r="E11" s="149"/>
      <c r="F11" s="218"/>
      <c r="G11" s="219">
        <v>250</v>
      </c>
      <c r="H11" s="217"/>
    </row>
    <row r="12" spans="1:8" ht="58.5" customHeight="1">
      <c r="A12" s="214" t="s">
        <v>425</v>
      </c>
      <c r="B12" s="149" t="s">
        <v>426</v>
      </c>
      <c r="C12" s="215">
        <v>2018</v>
      </c>
      <c r="D12" s="149"/>
      <c r="E12" s="149"/>
      <c r="F12" s="218"/>
      <c r="G12" s="219">
        <v>250</v>
      </c>
      <c r="H12" s="217"/>
    </row>
    <row r="13" spans="1:8" ht="58.5" customHeight="1">
      <c r="A13" s="214" t="s">
        <v>427</v>
      </c>
      <c r="B13" s="149" t="s">
        <v>428</v>
      </c>
      <c r="C13" s="215">
        <v>2018</v>
      </c>
      <c r="D13" s="149"/>
      <c r="E13" s="149"/>
      <c r="F13" s="218"/>
      <c r="G13" s="219">
        <v>231.5</v>
      </c>
      <c r="H13" s="217"/>
    </row>
    <row r="14" spans="1:8" ht="58.5" customHeight="1">
      <c r="A14" s="214" t="s">
        <v>429</v>
      </c>
      <c r="B14" s="149" t="s">
        <v>430</v>
      </c>
      <c r="C14" s="215">
        <v>2019</v>
      </c>
      <c r="D14" s="149"/>
      <c r="E14" s="149"/>
      <c r="F14" s="218"/>
      <c r="G14" s="219">
        <v>250</v>
      </c>
      <c r="H14" s="217"/>
    </row>
    <row r="15" spans="1:8" ht="58.5" customHeight="1">
      <c r="A15" s="214" t="s">
        <v>431</v>
      </c>
      <c r="B15" s="149" t="s">
        <v>432</v>
      </c>
      <c r="C15" s="215">
        <v>2019</v>
      </c>
      <c r="D15" s="149"/>
      <c r="E15" s="149"/>
      <c r="F15" s="218"/>
      <c r="G15" s="219">
        <v>231.5</v>
      </c>
      <c r="H15" s="217"/>
    </row>
    <row r="16" spans="1:8" ht="15.75" customHeight="1">
      <c r="A16" s="214"/>
      <c r="B16" s="149"/>
      <c r="C16" s="215"/>
      <c r="D16" s="149"/>
      <c r="E16" s="149"/>
      <c r="F16" s="218"/>
      <c r="G16" s="216"/>
      <c r="H16" s="217"/>
    </row>
    <row r="17" spans="1:8" ht="15" customHeight="1">
      <c r="A17" s="214"/>
      <c r="B17" s="149"/>
      <c r="C17" s="215"/>
      <c r="D17" s="149"/>
      <c r="E17" s="149"/>
      <c r="F17" s="218"/>
      <c r="G17" s="216"/>
      <c r="H17" s="217"/>
    </row>
    <row r="18" spans="6:7" ht="15" customHeight="1">
      <c r="F18" s="220"/>
      <c r="G18" s="220"/>
    </row>
    <row r="19" spans="1:8" ht="15" customHeight="1">
      <c r="A19" s="214">
        <v>2</v>
      </c>
      <c r="B19" s="221" t="s">
        <v>433</v>
      </c>
      <c r="C19" s="221"/>
      <c r="D19" s="221"/>
      <c r="E19" s="221"/>
      <c r="F19" s="221"/>
      <c r="G19" s="221"/>
      <c r="H19" s="221"/>
    </row>
    <row r="20" spans="1:8" ht="86.25" customHeight="1">
      <c r="A20" s="214" t="s">
        <v>434</v>
      </c>
      <c r="B20" s="149" t="s">
        <v>435</v>
      </c>
      <c r="C20" s="215">
        <v>2016</v>
      </c>
      <c r="D20" s="149"/>
      <c r="E20" s="149"/>
      <c r="F20" s="218"/>
      <c r="G20" s="219">
        <v>87.2</v>
      </c>
      <c r="H20" s="217"/>
    </row>
    <row r="21" spans="1:8" ht="86.25" customHeight="1">
      <c r="A21" s="214" t="s">
        <v>436</v>
      </c>
      <c r="B21" s="149" t="s">
        <v>437</v>
      </c>
      <c r="C21" s="215">
        <v>2016</v>
      </c>
      <c r="D21" s="149"/>
      <c r="E21" s="149"/>
      <c r="F21" s="218"/>
      <c r="G21" s="219">
        <v>87.2</v>
      </c>
      <c r="H21" s="217"/>
    </row>
    <row r="22" spans="1:8" ht="86.25" customHeight="1">
      <c r="A22" s="214" t="s">
        <v>438</v>
      </c>
      <c r="B22" s="149" t="s">
        <v>439</v>
      </c>
      <c r="C22" s="215">
        <v>2017</v>
      </c>
      <c r="D22" s="149"/>
      <c r="E22" s="149"/>
      <c r="F22" s="218"/>
      <c r="G22" s="219">
        <v>87.2</v>
      </c>
      <c r="H22" s="217"/>
    </row>
    <row r="23" spans="1:8" ht="86.25" customHeight="1">
      <c r="A23" s="214" t="s">
        <v>440</v>
      </c>
      <c r="B23" s="149" t="s">
        <v>441</v>
      </c>
      <c r="C23" s="215">
        <v>2017</v>
      </c>
      <c r="D23" s="149"/>
      <c r="E23" s="149"/>
      <c r="F23" s="218"/>
      <c r="G23" s="219">
        <v>87.2</v>
      </c>
      <c r="H23" s="217"/>
    </row>
    <row r="24" spans="1:8" ht="86.25" customHeight="1">
      <c r="A24" s="214" t="s">
        <v>440</v>
      </c>
      <c r="B24" s="149" t="s">
        <v>442</v>
      </c>
      <c r="C24" s="149">
        <v>2018</v>
      </c>
      <c r="D24" s="149"/>
      <c r="E24" s="149"/>
      <c r="F24" s="218"/>
      <c r="G24" s="219">
        <v>87.2</v>
      </c>
      <c r="H24" s="217"/>
    </row>
    <row r="25" spans="1:8" ht="86.25" customHeight="1">
      <c r="A25" s="214" t="s">
        <v>443</v>
      </c>
      <c r="B25" s="149" t="s">
        <v>441</v>
      </c>
      <c r="C25" s="149">
        <v>2018</v>
      </c>
      <c r="D25" s="149"/>
      <c r="E25" s="149"/>
      <c r="F25" s="218"/>
      <c r="G25" s="219">
        <v>87.2</v>
      </c>
      <c r="H25" s="217"/>
    </row>
    <row r="26" spans="1:8" ht="72" customHeight="1">
      <c r="A26" s="214" t="s">
        <v>444</v>
      </c>
      <c r="B26" s="149" t="s">
        <v>445</v>
      </c>
      <c r="C26" s="215">
        <v>2019</v>
      </c>
      <c r="D26" s="149"/>
      <c r="E26" s="149"/>
      <c r="F26" s="218"/>
      <c r="G26" s="219">
        <v>87.2</v>
      </c>
      <c r="H26" s="217"/>
    </row>
    <row r="27" spans="1:8" ht="86.25" customHeight="1">
      <c r="A27" s="214" t="s">
        <v>446</v>
      </c>
      <c r="B27" s="149" t="s">
        <v>447</v>
      </c>
      <c r="C27" s="215">
        <v>2019</v>
      </c>
      <c r="D27" s="149"/>
      <c r="E27" s="149"/>
      <c r="F27" s="218"/>
      <c r="G27" s="219">
        <v>87.2</v>
      </c>
      <c r="H27" s="217"/>
    </row>
    <row r="28" spans="1:8" ht="15.75" customHeight="1">
      <c r="A28" s="214">
        <v>3</v>
      </c>
      <c r="B28" s="222" t="s">
        <v>448</v>
      </c>
      <c r="C28" s="222"/>
      <c r="D28" s="222"/>
      <c r="E28" s="222"/>
      <c r="F28" s="222"/>
      <c r="G28" s="222"/>
      <c r="H28" s="222"/>
    </row>
    <row r="29" spans="1:8" ht="58.5" customHeight="1">
      <c r="A29" s="214" t="s">
        <v>449</v>
      </c>
      <c r="B29" s="223" t="s">
        <v>450</v>
      </c>
      <c r="C29" s="215">
        <v>2015</v>
      </c>
      <c r="D29" s="149"/>
      <c r="E29" s="149"/>
      <c r="F29" s="224">
        <v>57.34</v>
      </c>
      <c r="G29" s="216"/>
      <c r="H29" s="217"/>
    </row>
    <row r="30" spans="1:8" ht="58.5" customHeight="1">
      <c r="A30" s="214" t="s">
        <v>115</v>
      </c>
      <c r="B30" s="223" t="s">
        <v>451</v>
      </c>
      <c r="C30" s="215">
        <v>2015</v>
      </c>
      <c r="D30" s="149"/>
      <c r="E30" s="149"/>
      <c r="F30" s="224">
        <v>258.12</v>
      </c>
      <c r="G30" s="216"/>
      <c r="H30" s="217"/>
    </row>
    <row r="31" spans="1:8" ht="15.75" customHeight="1">
      <c r="A31" s="214">
        <v>4</v>
      </c>
      <c r="B31" s="222" t="s">
        <v>452</v>
      </c>
      <c r="C31" s="222"/>
      <c r="D31" s="222"/>
      <c r="E31" s="222"/>
      <c r="F31" s="222"/>
      <c r="G31" s="222"/>
      <c r="H31" s="222"/>
    </row>
    <row r="32" spans="1:8" ht="15" customHeight="1">
      <c r="A32" s="214" t="s">
        <v>139</v>
      </c>
      <c r="B32" s="225"/>
      <c r="C32" s="226"/>
      <c r="D32" s="149"/>
      <c r="E32" s="225"/>
      <c r="F32" s="225"/>
      <c r="G32" s="225"/>
      <c r="H32" s="225"/>
    </row>
    <row r="33" spans="1:8" ht="15" customHeight="1">
      <c r="A33" s="227" t="s">
        <v>345</v>
      </c>
      <c r="B33" s="227"/>
      <c r="C33" s="228">
        <v>9</v>
      </c>
      <c r="D33" s="217">
        <f>7900/1.2</f>
        <v>6583.333333333334</v>
      </c>
      <c r="E33" s="229">
        <f>(1485.5+442.22+268.52+395.76)/1.2</f>
        <v>2160</v>
      </c>
      <c r="F33" s="230">
        <f>F30+F29+F7+F6</f>
        <v>1103.9208333333333</v>
      </c>
      <c r="G33" s="230">
        <f>SUM(G20:G27)+SUM(G8:G15)</f>
        <v>2623.6000000000004</v>
      </c>
      <c r="H33" s="231">
        <f>SUM(H34:H37)</f>
        <v>2623.6000000000004</v>
      </c>
    </row>
    <row r="34" spans="1:8" ht="15" customHeight="1">
      <c r="A34" s="232"/>
      <c r="B34" s="233"/>
      <c r="C34" s="233"/>
      <c r="D34" s="233"/>
      <c r="E34" s="233"/>
      <c r="F34" s="233"/>
      <c r="G34" s="234" t="s">
        <v>347</v>
      </c>
      <c r="H34" s="231">
        <f>G8+G9+G20+G21</f>
        <v>655.9000000000001</v>
      </c>
    </row>
    <row r="35" spans="1:8" ht="15" customHeight="1">
      <c r="A35" s="232"/>
      <c r="B35" s="233"/>
      <c r="C35" s="233"/>
      <c r="D35" s="233"/>
      <c r="E35" s="233"/>
      <c r="F35" s="233"/>
      <c r="G35" s="234" t="s">
        <v>348</v>
      </c>
      <c r="H35" s="231">
        <f>G10+G11+G22+G23</f>
        <v>655.9000000000001</v>
      </c>
    </row>
    <row r="36" spans="1:8" ht="15" customHeight="1">
      <c r="A36" s="232"/>
      <c r="B36" s="233"/>
      <c r="C36" s="233"/>
      <c r="D36" s="233"/>
      <c r="E36" s="233"/>
      <c r="F36" s="233"/>
      <c r="G36" s="234" t="s">
        <v>349</v>
      </c>
      <c r="H36" s="231">
        <f>G12+G13+G24+G25</f>
        <v>655.9000000000001</v>
      </c>
    </row>
    <row r="37" spans="1:8" ht="15" customHeight="1">
      <c r="A37" s="232"/>
      <c r="B37" s="233"/>
      <c r="C37" s="233"/>
      <c r="D37" s="233"/>
      <c r="E37" s="233"/>
      <c r="F37" s="233"/>
      <c r="G37" s="234" t="s">
        <v>350</v>
      </c>
      <c r="H37" s="231">
        <f>G14+G15+G26+G27</f>
        <v>655.9000000000001</v>
      </c>
    </row>
    <row r="38" spans="1:8" ht="15" customHeight="1">
      <c r="A38" s="232"/>
      <c r="B38" s="235"/>
      <c r="C38" s="235"/>
      <c r="D38" s="235"/>
      <c r="E38" s="235"/>
      <c r="F38" s="235"/>
      <c r="G38" s="236"/>
      <c r="H38" s="236"/>
    </row>
    <row r="39" spans="1:8" ht="15" customHeight="1">
      <c r="A39" s="232"/>
      <c r="B39" s="235"/>
      <c r="C39" s="235"/>
      <c r="D39" s="235"/>
      <c r="E39" s="235"/>
      <c r="F39" s="235"/>
      <c r="G39" s="236"/>
      <c r="H39" s="236"/>
    </row>
    <row r="40" spans="1:8" ht="15" customHeight="1">
      <c r="A40" s="232"/>
      <c r="B40" s="235"/>
      <c r="C40" s="235"/>
      <c r="D40" s="235"/>
      <c r="E40" s="235"/>
      <c r="F40" s="235"/>
      <c r="G40" s="236"/>
      <c r="H40" s="236"/>
    </row>
    <row r="41" spans="1:8" ht="15" customHeight="1">
      <c r="A41" s="232"/>
      <c r="B41" s="235"/>
      <c r="C41" s="235"/>
      <c r="D41" s="235"/>
      <c r="E41" s="235"/>
      <c r="F41" s="235"/>
      <c r="G41" s="236"/>
      <c r="H41" s="236"/>
    </row>
    <row r="42" spans="1:8" ht="15" customHeight="1">
      <c r="A42" s="232"/>
      <c r="B42" s="235"/>
      <c r="C42" s="235"/>
      <c r="D42" s="235"/>
      <c r="E42" s="235"/>
      <c r="F42" s="235"/>
      <c r="G42" s="236"/>
      <c r="H42" s="237"/>
    </row>
    <row r="43" spans="1:8" ht="15" customHeight="1">
      <c r="A43" s="238" t="s">
        <v>353</v>
      </c>
      <c r="B43" s="238"/>
      <c r="C43" s="239"/>
      <c r="D43" s="240"/>
      <c r="E43" s="241" t="s">
        <v>354</v>
      </c>
      <c r="F43" s="241"/>
      <c r="G43" s="241" t="s">
        <v>29</v>
      </c>
      <c r="H43" s="242"/>
    </row>
    <row r="44" spans="1:8" ht="15" customHeight="1">
      <c r="A44" s="243" t="s">
        <v>356</v>
      </c>
      <c r="B44" s="243"/>
      <c r="C44" s="239"/>
      <c r="D44" s="240"/>
      <c r="E44" s="241" t="s">
        <v>30</v>
      </c>
      <c r="F44" s="241"/>
      <c r="G44" s="241" t="s">
        <v>357</v>
      </c>
      <c r="H44" s="242"/>
    </row>
    <row r="45" spans="1:8" ht="15" customHeight="1">
      <c r="A45" s="243"/>
      <c r="B45" s="243"/>
      <c r="C45" s="239"/>
      <c r="D45" s="240"/>
      <c r="E45" s="240"/>
      <c r="F45" s="240"/>
      <c r="G45" s="240"/>
      <c r="H45" s="242"/>
    </row>
    <row r="46" spans="1:8" ht="15" customHeight="1">
      <c r="A46" s="244" t="s">
        <v>358</v>
      </c>
      <c r="B46" s="244"/>
      <c r="C46" s="244"/>
      <c r="D46" s="244"/>
      <c r="E46" s="244"/>
      <c r="F46" s="245"/>
      <c r="G46" s="240"/>
      <c r="H46" s="242"/>
    </row>
    <row r="47" spans="1:8" ht="15" customHeight="1">
      <c r="A47" s="246"/>
      <c r="B47" s="246"/>
      <c r="C47" s="239"/>
      <c r="D47" s="240"/>
      <c r="E47" s="240"/>
      <c r="F47" s="240"/>
      <c r="G47" s="240"/>
      <c r="H47" s="242"/>
    </row>
    <row r="48" spans="1:8" ht="15" customHeight="1">
      <c r="A48" s="247" t="s">
        <v>32</v>
      </c>
      <c r="B48" s="247"/>
      <c r="C48" s="248"/>
      <c r="D48" s="242"/>
      <c r="E48" s="242"/>
      <c r="F48" s="242"/>
      <c r="G48" s="242"/>
      <c r="H48" s="242"/>
    </row>
  </sheetData>
  <sheetProtection selectLockedCells="1" selectUnlockedCells="1"/>
  <mergeCells count="12">
    <mergeCell ref="A1:H1"/>
    <mergeCell ref="A2:A3"/>
    <mergeCell ref="B2:B3"/>
    <mergeCell ref="C2:C3"/>
    <mergeCell ref="D3:H3"/>
    <mergeCell ref="B5:H5"/>
    <mergeCell ref="B19:H19"/>
    <mergeCell ref="B28:H28"/>
    <mergeCell ref="B31:H31"/>
    <mergeCell ref="A33:B33"/>
    <mergeCell ref="B34:F37"/>
    <mergeCell ref="A46:E46"/>
  </mergeCells>
  <printOptions horizontalCentered="1"/>
  <pageMargins left="0.7875" right="0.7875" top="0.7875" bottom="0.7875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2014-10-06T08:05:35Z</cp:lastPrinted>
  <dcterms:modified xsi:type="dcterms:W3CDTF">2014-11-19T06:29:22Z</dcterms:modified>
  <cp:category/>
  <cp:version/>
  <cp:contentType/>
  <cp:contentStatus/>
  <cp:revision>2</cp:revision>
</cp:coreProperties>
</file>